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omments1.xml" ContentType="application/vnd.openxmlformats-officedocument.spreadsheetml.comments+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17.xml" ContentType="application/vnd.openxmlformats-officedocument.spreadsheetml.table+xml"/>
  <Override PartName="/xl/tables/table118.xml" ContentType="application/vnd.openxmlformats-officedocument.spreadsheetml.table+xml"/>
  <Override PartName="/xl/tables/table119.xml" ContentType="application/vnd.openxmlformats-officedocument.spreadsheetml.table+xml"/>
  <Override PartName="/xl/tables/table120.xml" ContentType="application/vnd.openxmlformats-officedocument.spreadsheetml.table+xml"/>
  <Override PartName="/xl/tables/table121.xml" ContentType="application/vnd.openxmlformats-officedocument.spreadsheetml.table+xml"/>
  <Override PartName="/xl/tables/table122.xml" ContentType="application/vnd.openxmlformats-officedocument.spreadsheetml.table+xml"/>
  <Override PartName="/xl/tables/table123.xml" ContentType="application/vnd.openxmlformats-officedocument.spreadsheetml.table+xml"/>
  <Override PartName="/xl/tables/table124.xml" ContentType="application/vnd.openxmlformats-officedocument.spreadsheetml.table+xml"/>
  <Override PartName="/xl/tables/table125.xml" ContentType="application/vnd.openxmlformats-officedocument.spreadsheetml.table+xml"/>
  <Override PartName="/xl/tables/table126.xml" ContentType="application/vnd.openxmlformats-officedocument.spreadsheetml.table+xml"/>
  <Override PartName="/xl/tables/table127.xml" ContentType="application/vnd.openxmlformats-officedocument.spreadsheetml.table+xml"/>
  <Override PartName="/xl/tables/table128.xml" ContentType="application/vnd.openxmlformats-officedocument.spreadsheetml.table+xml"/>
  <Override PartName="/xl/tables/table129.xml" ContentType="application/vnd.openxmlformats-officedocument.spreadsheetml.table+xml"/>
  <Override PartName="/xl/tables/table130.xml" ContentType="application/vnd.openxmlformats-officedocument.spreadsheetml.table+xml"/>
  <Override PartName="/xl/tables/table131.xml" ContentType="application/vnd.openxmlformats-officedocument.spreadsheetml.table+xml"/>
  <Override PartName="/xl/tables/table132.xml" ContentType="application/vnd.openxmlformats-officedocument.spreadsheetml.table+xml"/>
  <Override PartName="/xl/tables/table133.xml" ContentType="application/vnd.openxmlformats-officedocument.spreadsheetml.table+xml"/>
  <Override PartName="/xl/tables/table134.xml" ContentType="application/vnd.openxmlformats-officedocument.spreadsheetml.table+xml"/>
  <Override PartName="/xl/tables/table135.xml" ContentType="application/vnd.openxmlformats-officedocument.spreadsheetml.table+xml"/>
  <Override PartName="/xl/tables/table136.xml" ContentType="application/vnd.openxmlformats-officedocument.spreadsheetml.table+xml"/>
  <Override PartName="/xl/tables/table137.xml" ContentType="application/vnd.openxmlformats-officedocument.spreadsheetml.table+xml"/>
  <Override PartName="/xl/tables/table138.xml" ContentType="application/vnd.openxmlformats-officedocument.spreadsheetml.table+xml"/>
  <Override PartName="/xl/tables/table139.xml" ContentType="application/vnd.openxmlformats-officedocument.spreadsheetml.table+xml"/>
  <Override PartName="/xl/tables/table140.xml" ContentType="application/vnd.openxmlformats-officedocument.spreadsheetml.table+xml"/>
  <Override PartName="/xl/tables/table141.xml" ContentType="application/vnd.openxmlformats-officedocument.spreadsheetml.table+xml"/>
  <Override PartName="/xl/tables/table142.xml" ContentType="application/vnd.openxmlformats-officedocument.spreadsheetml.table+xml"/>
  <Override PartName="/xl/tables/table143.xml" ContentType="application/vnd.openxmlformats-officedocument.spreadsheetml.table+xml"/>
  <Override PartName="/xl/tables/table144.xml" ContentType="application/vnd.openxmlformats-officedocument.spreadsheetml.table+xml"/>
  <Override PartName="/xl/tables/table145.xml" ContentType="application/vnd.openxmlformats-officedocument.spreadsheetml.table+xml"/>
  <Override PartName="/xl/tables/table146.xml" ContentType="application/vnd.openxmlformats-officedocument.spreadsheetml.table+xml"/>
  <Override PartName="/xl/tables/table147.xml" ContentType="application/vnd.openxmlformats-officedocument.spreadsheetml.table+xml"/>
  <Override PartName="/xl/tables/table148.xml" ContentType="application/vnd.openxmlformats-officedocument.spreadsheetml.table+xml"/>
  <Override PartName="/xl/tables/table149.xml" ContentType="application/vnd.openxmlformats-officedocument.spreadsheetml.table+xml"/>
  <Override PartName="/xl/tables/table150.xml" ContentType="application/vnd.openxmlformats-officedocument.spreadsheetml.table+xml"/>
  <Override PartName="/xl/tables/table151.xml" ContentType="application/vnd.openxmlformats-officedocument.spreadsheetml.table+xml"/>
  <Override PartName="/xl/tables/table152.xml" ContentType="application/vnd.openxmlformats-officedocument.spreadsheetml.table+xml"/>
  <Override PartName="/xl/tables/table153.xml" ContentType="application/vnd.openxmlformats-officedocument.spreadsheetml.table+xml"/>
  <Override PartName="/xl/tables/table154.xml" ContentType="application/vnd.openxmlformats-officedocument.spreadsheetml.table+xml"/>
  <Override PartName="/xl/tables/table155.xml" ContentType="application/vnd.openxmlformats-officedocument.spreadsheetml.table+xml"/>
  <Override PartName="/xl/tables/table15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mc:AlternateContent xmlns:mc="http://schemas.openxmlformats.org/markup-compatibility/2006">
    <mc:Choice Requires="x15">
      <x15ac:absPath xmlns:x15ac="http://schemas.microsoft.com/office/spreadsheetml/2010/11/ac" url="C:\Users\1813889\Documents\Rafael 2023\Compras\Pregões do IFPB Campus Cajazeiras\Pregão XX2023 Apoio Administrativo\Planilha de Preços Estimados das Empresas\"/>
    </mc:Choice>
  </mc:AlternateContent>
  <xr:revisionPtr revIDLastSave="0" documentId="8_{E134690B-9D57-4E4F-B09D-3DA082A120F1}" xr6:coauthVersionLast="47" xr6:coauthVersionMax="47" xr10:uidLastSave="{00000000-0000-0000-0000-000000000000}"/>
  <bookViews>
    <workbookView xWindow="-120" yWindow="-120" windowWidth="29040" windowHeight="15840" tabRatio="858" firstSheet="2" activeTab="2" xr2:uid="{00000000-000D-0000-FFFF-FFFF00000000}"/>
  </bookViews>
  <sheets>
    <sheet name="Orientações" sheetId="1" state="hidden" r:id="rId1"/>
    <sheet name="Servente" sheetId="2" state="hidden" r:id="rId2"/>
    <sheet name="RESUMO" sheetId="15" r:id="rId3"/>
    <sheet name="Pedreiro" sheetId="11" r:id="rId4"/>
    <sheet name="Eletricista" sheetId="5" r:id="rId5"/>
    <sheet name="Pintor" sheetId="6" r:id="rId6"/>
    <sheet name="Técnico em Manutenção Predial" sheetId="7" r:id="rId7"/>
    <sheet name="Piscineiro" sheetId="8" r:id="rId8"/>
    <sheet name="Jardineiro" sheetId="9" r:id="rId9"/>
    <sheet name="Cozinheira" sheetId="10" r:id="rId10"/>
    <sheet name="Auxiliar de Cozinha" sheetId="16" r:id="rId11"/>
    <sheet name="Recepcionista" sheetId="17" r:id="rId12"/>
    <sheet name="Motorista Interestadual" sheetId="18" r:id="rId13"/>
    <sheet name="Uniformes e EPI" sheetId="12" r:id="rId14"/>
    <sheet name="Mat. Piscineiro" sheetId="20" r:id="rId15"/>
    <sheet name="Mat. e Equip. Jardineiro" sheetId="21" r:id="rId16"/>
    <sheet name="Diárias Nacionais Motorista" sheetId="19" r:id="rId17"/>
  </sheets>
  <externalReferences>
    <externalReference r:id="rId18"/>
  </externalReferences>
  <definedNames>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 name="_xlnm.Print_Area" localSheetId="4">Eletricista!$A$1:$D$148</definedName>
    <definedName name="_xlnm.Print_Area" localSheetId="8">Jardineiro!$A$1:$D$148</definedName>
    <definedName name="_xlnm.Print_Area" localSheetId="3">Pedreiro!$A$1:$D$148</definedName>
    <definedName name="_xlnm.Print_Area" localSheetId="5">Pintor!$A$1:$D$148</definedName>
    <definedName name="_xlnm.Print_Area" localSheetId="7">Piscineiro!$A$1:$D$148</definedName>
    <definedName name="_xlnm.Print_Area" localSheetId="2">RESUMO!$A$1:$G$15</definedName>
    <definedName name="_xlnm.Print_Area" localSheetId="6">'Técnico em Manutenção Predial'!$A$1:$D$148</definedName>
    <definedName name="Salário_Normativo_da_Categoria_Profissional">Servente!$D$5</definedName>
    <definedName name="SalarioBase">Servente!$D$5</definedName>
    <definedName name="Total1">Servente!#REF!</definedName>
    <definedName name="Total2.1">Servente!#REF!</definedName>
    <definedName name="Total2.2">Servente!#REF!</definedName>
    <definedName name="Total2.3">Servente!#REF!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1" i="12" l="1"/>
  <c r="H141" i="12" s="1"/>
  <c r="F6" i="21" l="1"/>
  <c r="F9" i="20"/>
  <c r="F10" i="20"/>
  <c r="F25" i="20"/>
  <c r="F26" i="20"/>
  <c r="F8" i="20"/>
  <c r="G4" i="12" l="1"/>
  <c r="G5" i="12"/>
  <c r="G6" i="12"/>
  <c r="G7" i="12"/>
  <c r="F15" i="21"/>
  <c r="F14" i="21"/>
  <c r="F5" i="21"/>
  <c r="F24" i="20"/>
  <c r="F23" i="20"/>
  <c r="F17" i="20"/>
  <c r="F16" i="20"/>
  <c r="F7" i="20"/>
  <c r="F6" i="20"/>
  <c r="F5" i="20"/>
  <c r="F7" i="21" l="1"/>
  <c r="F8" i="21" s="1"/>
  <c r="D116" i="9" s="1"/>
  <c r="F16" i="21"/>
  <c r="F18" i="21" s="1"/>
  <c r="F27" i="20"/>
  <c r="F28" i="20" s="1"/>
  <c r="F18" i="20"/>
  <c r="F19" i="20" s="1"/>
  <c r="F11" i="20"/>
  <c r="F12" i="20" s="1"/>
  <c r="F17" i="21" l="1"/>
  <c r="D116" i="8"/>
  <c r="F19" i="21" l="1"/>
  <c r="F20" i="21" s="1"/>
  <c r="D117" i="9" s="1"/>
  <c r="D11" i="19"/>
  <c r="E11" i="19" s="1"/>
  <c r="D10" i="19"/>
  <c r="D17" i="19"/>
  <c r="D16" i="19"/>
  <c r="D15" i="19"/>
  <c r="E10" i="19"/>
  <c r="D18" i="19" l="1"/>
  <c r="J6" i="19" s="1"/>
  <c r="J8" i="19" s="1"/>
  <c r="E17" i="19" s="1"/>
  <c r="E12" i="19"/>
  <c r="E13" i="19" s="1"/>
  <c r="J7" i="19"/>
  <c r="E16" i="19" l="1"/>
  <c r="E15" i="19"/>
  <c r="E18" i="19" l="1"/>
  <c r="E19" i="19" s="1"/>
  <c r="C4" i="19" l="1"/>
  <c r="D4" i="19"/>
  <c r="F13" i="15"/>
  <c r="G13" i="15" s="1"/>
  <c r="G146" i="12" l="1"/>
  <c r="H146" i="12" s="1"/>
  <c r="G145" i="12"/>
  <c r="H145" i="12" s="1"/>
  <c r="G144" i="12"/>
  <c r="H144" i="12" s="1"/>
  <c r="G143" i="12"/>
  <c r="H143" i="12" s="1"/>
  <c r="G142" i="12"/>
  <c r="H142" i="12" s="1"/>
  <c r="G140" i="12"/>
  <c r="H140" i="12" s="1"/>
  <c r="G133" i="12"/>
  <c r="H133" i="12" s="1"/>
  <c r="G132" i="12"/>
  <c r="H132" i="12" s="1"/>
  <c r="G131" i="12"/>
  <c r="H131" i="12" s="1"/>
  <c r="G130" i="12"/>
  <c r="H130" i="12" s="1"/>
  <c r="G129" i="12"/>
  <c r="H129" i="12" s="1"/>
  <c r="G128" i="12"/>
  <c r="H128" i="12" s="1"/>
  <c r="G121" i="12"/>
  <c r="H121" i="12" s="1"/>
  <c r="G120" i="12"/>
  <c r="H120" i="12" s="1"/>
  <c r="G119" i="12"/>
  <c r="H119" i="12" s="1"/>
  <c r="G118" i="12"/>
  <c r="H118" i="12" s="1"/>
  <c r="G117" i="12"/>
  <c r="H117" i="12" s="1"/>
  <c r="G116" i="12"/>
  <c r="H116" i="12" s="1"/>
  <c r="G115" i="12"/>
  <c r="H115" i="12" s="1"/>
  <c r="I132" i="18"/>
  <c r="C132" i="18"/>
  <c r="I130" i="18" s="1"/>
  <c r="K115" i="18"/>
  <c r="K114" i="18"/>
  <c r="D104" i="18"/>
  <c r="D109" i="18" s="1"/>
  <c r="C97" i="18"/>
  <c r="C96" i="18"/>
  <c r="C95" i="18"/>
  <c r="C94" i="18"/>
  <c r="C93" i="18"/>
  <c r="C82" i="18"/>
  <c r="C80" i="18"/>
  <c r="C79" i="18"/>
  <c r="C77" i="18"/>
  <c r="C64" i="18"/>
  <c r="D60" i="18"/>
  <c r="D66" i="18" s="1"/>
  <c r="D72" i="18" s="1"/>
  <c r="C60" i="18"/>
  <c r="C63" i="18" s="1"/>
  <c r="C55" i="18"/>
  <c r="C81" i="18" s="1"/>
  <c r="C38" i="18"/>
  <c r="C37" i="18"/>
  <c r="D25" i="18"/>
  <c r="D31" i="18" s="1"/>
  <c r="C21" i="18"/>
  <c r="C20" i="18"/>
  <c r="C19" i="18"/>
  <c r="D17" i="18"/>
  <c r="A3" i="18"/>
  <c r="I132" i="17"/>
  <c r="C132" i="17"/>
  <c r="I130" i="17" s="1"/>
  <c r="K115" i="17"/>
  <c r="K114" i="17"/>
  <c r="J116" i="17" s="1"/>
  <c r="J117" i="17" s="1"/>
  <c r="D118" i="17" s="1"/>
  <c r="D104" i="17"/>
  <c r="D109" i="17" s="1"/>
  <c r="C97" i="17"/>
  <c r="C96" i="17"/>
  <c r="C95" i="17"/>
  <c r="C94" i="17"/>
  <c r="C93" i="17"/>
  <c r="C82" i="17"/>
  <c r="C80" i="17"/>
  <c r="C79" i="17"/>
  <c r="C77" i="17"/>
  <c r="C64" i="17"/>
  <c r="D60" i="17"/>
  <c r="D66" i="17" s="1"/>
  <c r="D72" i="17" s="1"/>
  <c r="C60" i="17"/>
  <c r="C63" i="17" s="1"/>
  <c r="C55" i="17"/>
  <c r="C81" i="17" s="1"/>
  <c r="C38" i="17"/>
  <c r="C37" i="17"/>
  <c r="D25" i="17"/>
  <c r="D31" i="17" s="1"/>
  <c r="C21" i="17"/>
  <c r="C20" i="17"/>
  <c r="C19" i="17"/>
  <c r="D17" i="17"/>
  <c r="A3" i="17"/>
  <c r="I132" i="16"/>
  <c r="C132" i="16"/>
  <c r="I130" i="16" s="1"/>
  <c r="K115" i="16"/>
  <c r="K114" i="16"/>
  <c r="D104" i="16"/>
  <c r="D109" i="16" s="1"/>
  <c r="C97" i="16"/>
  <c r="C96" i="16"/>
  <c r="C95" i="16"/>
  <c r="C94" i="16"/>
  <c r="C93" i="16"/>
  <c r="C99" i="16" s="1"/>
  <c r="C82" i="16"/>
  <c r="C80" i="16"/>
  <c r="C79" i="16"/>
  <c r="C77" i="16"/>
  <c r="C64" i="16"/>
  <c r="D60" i="16"/>
  <c r="D66" i="16" s="1"/>
  <c r="D72" i="16" s="1"/>
  <c r="C60" i="16"/>
  <c r="C65" i="16" s="1"/>
  <c r="C55" i="16"/>
  <c r="C81" i="16" s="1"/>
  <c r="C38" i="16"/>
  <c r="C37" i="16"/>
  <c r="D25" i="16"/>
  <c r="D31" i="16" s="1"/>
  <c r="C21" i="16"/>
  <c r="C20" i="16"/>
  <c r="C19" i="16"/>
  <c r="D17" i="16"/>
  <c r="A3" i="16"/>
  <c r="A3" i="7"/>
  <c r="A3" i="10"/>
  <c r="D17" i="8"/>
  <c r="A3" i="8"/>
  <c r="A3" i="9"/>
  <c r="G147" i="12" l="1"/>
  <c r="E114" i="18" s="1" a="1"/>
  <c r="E114" i="18" s="1"/>
  <c r="D114" i="18" s="1"/>
  <c r="C63" i="16"/>
  <c r="C83" i="16"/>
  <c r="J116" i="16"/>
  <c r="J117" i="16" s="1"/>
  <c r="D118" i="16" s="1"/>
  <c r="C99" i="17"/>
  <c r="C99" i="18"/>
  <c r="J116" i="18"/>
  <c r="J117" i="18" s="1"/>
  <c r="G134" i="12"/>
  <c r="F114" i="17" s="1" a="1"/>
  <c r="F114" i="17" s="1"/>
  <c r="D114" i="17" s="1"/>
  <c r="G122" i="12"/>
  <c r="F114" i="16" s="1" a="1"/>
  <c r="F114" i="16" s="1"/>
  <c r="D114" i="16" s="1"/>
  <c r="C83" i="18"/>
  <c r="D85" i="18"/>
  <c r="D77" i="18"/>
  <c r="D41" i="18"/>
  <c r="D37" i="18"/>
  <c r="D121" i="18"/>
  <c r="D79" i="18"/>
  <c r="D82" i="18"/>
  <c r="D38" i="18"/>
  <c r="D141" i="18"/>
  <c r="D80" i="18"/>
  <c r="D81" i="18" s="1"/>
  <c r="C65" i="18"/>
  <c r="C83" i="17"/>
  <c r="D85" i="17"/>
  <c r="D77" i="17"/>
  <c r="D41" i="17"/>
  <c r="D37" i="17"/>
  <c r="D141" i="17"/>
  <c r="D80" i="17"/>
  <c r="D81" i="17" s="1"/>
  <c r="D121" i="17"/>
  <c r="D79" i="17"/>
  <c r="D38" i="17"/>
  <c r="D82" i="17"/>
  <c r="C65" i="17"/>
  <c r="D85" i="16"/>
  <c r="D77" i="16"/>
  <c r="D41" i="16"/>
  <c r="D37" i="16"/>
  <c r="D39" i="16" s="1"/>
  <c r="D79" i="16"/>
  <c r="D121" i="16"/>
  <c r="D38" i="16"/>
  <c r="D141" i="16"/>
  <c r="D82" i="16"/>
  <c r="D80" i="16"/>
  <c r="D81" i="16" s="1"/>
  <c r="D119" i="18" l="1"/>
  <c r="D39" i="18"/>
  <c r="D78" i="18"/>
  <c r="D83" i="18" s="1"/>
  <c r="D39" i="17"/>
  <c r="D78" i="17"/>
  <c r="D83" i="17" s="1"/>
  <c r="D42" i="16"/>
  <c r="D70" i="16"/>
  <c r="D43" i="16"/>
  <c r="D78" i="16"/>
  <c r="D83" i="16" s="1"/>
  <c r="D143" i="18" l="1"/>
  <c r="D87" i="18"/>
  <c r="D123" i="18"/>
  <c r="D70" i="18"/>
  <c r="D42" i="18"/>
  <c r="D43" i="18" s="1"/>
  <c r="D143" i="17"/>
  <c r="D87" i="17"/>
  <c r="D123" i="17"/>
  <c r="D70" i="17"/>
  <c r="D42" i="17"/>
  <c r="D43" i="17" s="1"/>
  <c r="D143" i="16"/>
  <c r="D87" i="16"/>
  <c r="D123" i="16"/>
  <c r="D52" i="16"/>
  <c r="D48" i="16"/>
  <c r="D51" i="16"/>
  <c r="D54" i="16"/>
  <c r="D50" i="16"/>
  <c r="D53" i="16"/>
  <c r="D49" i="16"/>
  <c r="D47" i="16"/>
  <c r="D52" i="18" l="1"/>
  <c r="D48" i="18"/>
  <c r="D51" i="18"/>
  <c r="D47" i="18"/>
  <c r="D54" i="18"/>
  <c r="D50" i="18"/>
  <c r="D53" i="18"/>
  <c r="D49" i="18"/>
  <c r="D52" i="17"/>
  <c r="D48" i="17"/>
  <c r="D49" i="17"/>
  <c r="D51" i="17"/>
  <c r="D47" i="17"/>
  <c r="D54" i="17"/>
  <c r="D50" i="17"/>
  <c r="D53" i="17"/>
  <c r="D55" i="16"/>
  <c r="D71" i="16" s="1"/>
  <c r="D73" i="16" s="1"/>
  <c r="D55" i="18" l="1"/>
  <c r="D71" i="18" s="1"/>
  <c r="D73" i="18" s="1"/>
  <c r="D55" i="17"/>
  <c r="D71" i="17" s="1"/>
  <c r="D73" i="17" s="1"/>
  <c r="D122" i="16"/>
  <c r="D142" i="16"/>
  <c r="D86" i="16"/>
  <c r="D88" i="16" s="1"/>
  <c r="D122" i="18" l="1"/>
  <c r="D142" i="18"/>
  <c r="D86" i="18"/>
  <c r="D88" i="18" s="1"/>
  <c r="D122" i="17"/>
  <c r="D86" i="17"/>
  <c r="D88" i="17" s="1"/>
  <c r="D142" i="17"/>
  <c r="D96" i="16"/>
  <c r="D94" i="16"/>
  <c r="D98" i="16"/>
  <c r="D97" i="16"/>
  <c r="D95" i="16"/>
  <c r="D93" i="16"/>
  <c r="D96" i="18" l="1"/>
  <c r="D94" i="18"/>
  <c r="D95" i="18"/>
  <c r="D98" i="18"/>
  <c r="D97" i="18"/>
  <c r="D93" i="18"/>
  <c r="D93" i="17"/>
  <c r="D96" i="17"/>
  <c r="D94" i="17"/>
  <c r="D97" i="17"/>
  <c r="D98" i="17"/>
  <c r="D95" i="17"/>
  <c r="D99" i="16"/>
  <c r="D108" i="16" s="1"/>
  <c r="D110" i="16" s="1"/>
  <c r="D99" i="18" l="1"/>
  <c r="D108" i="18" s="1"/>
  <c r="D110" i="18" s="1"/>
  <c r="D99" i="17"/>
  <c r="D108" i="17" s="1"/>
  <c r="D110" i="17" s="1"/>
  <c r="D144" i="16"/>
  <c r="D124" i="16"/>
  <c r="D144" i="18" l="1"/>
  <c r="D124" i="18"/>
  <c r="D144" i="17"/>
  <c r="D124" i="17"/>
  <c r="A3" i="6" l="1"/>
  <c r="C9" i="5"/>
  <c r="C64" i="5" s="1"/>
  <c r="C7" i="5"/>
  <c r="A3" i="5"/>
  <c r="G109" i="12"/>
  <c r="H109" i="12" s="1"/>
  <c r="G108" i="12"/>
  <c r="H108" i="12" s="1"/>
  <c r="G107" i="12"/>
  <c r="H107" i="12" s="1"/>
  <c r="G106" i="12"/>
  <c r="H106" i="12" s="1"/>
  <c r="G105" i="12"/>
  <c r="H105" i="12" s="1"/>
  <c r="G104" i="12"/>
  <c r="H104" i="12" s="1"/>
  <c r="G103" i="12"/>
  <c r="H103" i="12" s="1"/>
  <c r="G96" i="12"/>
  <c r="H96" i="12" s="1"/>
  <c r="G95" i="12"/>
  <c r="H95" i="12" s="1"/>
  <c r="G94" i="12"/>
  <c r="H94" i="12" s="1"/>
  <c r="G93" i="12"/>
  <c r="H93" i="12" s="1"/>
  <c r="G92" i="12"/>
  <c r="H92" i="12" s="1"/>
  <c r="G91" i="12"/>
  <c r="H91" i="12" s="1"/>
  <c r="G90" i="12"/>
  <c r="H90" i="12" s="1"/>
  <c r="G89" i="12"/>
  <c r="H89" i="12" s="1"/>
  <c r="G88" i="12"/>
  <c r="H88" i="12" s="1"/>
  <c r="G87" i="12"/>
  <c r="H87" i="12" s="1"/>
  <c r="G86" i="12"/>
  <c r="H86" i="12" s="1"/>
  <c r="G79" i="12"/>
  <c r="H79" i="12" s="1"/>
  <c r="G78" i="12"/>
  <c r="H78" i="12" s="1"/>
  <c r="G77" i="12"/>
  <c r="H77" i="12" s="1"/>
  <c r="G76" i="12"/>
  <c r="H76" i="12" s="1"/>
  <c r="G75" i="12"/>
  <c r="H75" i="12" s="1"/>
  <c r="G74" i="12"/>
  <c r="H74" i="12" s="1"/>
  <c r="G73" i="12"/>
  <c r="H73" i="12" s="1"/>
  <c r="G72" i="12"/>
  <c r="H72" i="12" s="1"/>
  <c r="G71" i="12"/>
  <c r="H71" i="12" s="1"/>
  <c r="G70" i="12"/>
  <c r="H70" i="12" s="1"/>
  <c r="G69" i="12"/>
  <c r="H69" i="12" s="1"/>
  <c r="G68" i="12"/>
  <c r="H68" i="12" s="1"/>
  <c r="G61" i="12"/>
  <c r="H61" i="12" s="1"/>
  <c r="G60" i="12"/>
  <c r="H60" i="12" s="1"/>
  <c r="G59" i="12"/>
  <c r="H59" i="12" s="1"/>
  <c r="G58" i="12"/>
  <c r="H58" i="12" s="1"/>
  <c r="G57" i="12"/>
  <c r="H57" i="12" s="1"/>
  <c r="G56" i="12"/>
  <c r="H56" i="12" s="1"/>
  <c r="G55" i="12"/>
  <c r="H55" i="12" s="1"/>
  <c r="G54" i="12"/>
  <c r="H54" i="12" s="1"/>
  <c r="G53" i="12"/>
  <c r="H53" i="12" s="1"/>
  <c r="G52" i="12"/>
  <c r="H52" i="12" s="1"/>
  <c r="G46" i="12"/>
  <c r="H46" i="12" s="1"/>
  <c r="G45" i="12"/>
  <c r="H45" i="12" s="1"/>
  <c r="G44" i="12"/>
  <c r="H44" i="12" s="1"/>
  <c r="G43" i="12"/>
  <c r="H43" i="12" s="1"/>
  <c r="G42" i="12"/>
  <c r="H42" i="12" s="1"/>
  <c r="G41" i="12"/>
  <c r="H41" i="12" s="1"/>
  <c r="G40" i="12"/>
  <c r="H40" i="12" s="1"/>
  <c r="G39" i="12"/>
  <c r="H39" i="12" s="1"/>
  <c r="G38" i="12"/>
  <c r="H38" i="12" s="1"/>
  <c r="G31" i="12"/>
  <c r="H31" i="12" s="1"/>
  <c r="G30" i="12"/>
  <c r="H30" i="12" s="1"/>
  <c r="G29" i="12"/>
  <c r="H29" i="12" s="1"/>
  <c r="G28" i="12"/>
  <c r="H28" i="12" s="1"/>
  <c r="G27" i="12"/>
  <c r="H27" i="12" s="1"/>
  <c r="G26" i="12"/>
  <c r="H26" i="12" s="1"/>
  <c r="G25" i="12"/>
  <c r="H25" i="12" s="1"/>
  <c r="G24" i="12"/>
  <c r="H24" i="12" s="1"/>
  <c r="G23" i="12"/>
  <c r="H23" i="12" s="1"/>
  <c r="G22" i="12"/>
  <c r="H22" i="12" s="1"/>
  <c r="G21" i="12"/>
  <c r="H21" i="12" s="1"/>
  <c r="G14" i="12"/>
  <c r="H14" i="12" s="1"/>
  <c r="G13" i="12"/>
  <c r="H13" i="12" s="1"/>
  <c r="G12" i="12"/>
  <c r="H12" i="12" s="1"/>
  <c r="G11" i="12"/>
  <c r="H11" i="12" s="1"/>
  <c r="G10" i="12"/>
  <c r="H10" i="12" s="1"/>
  <c r="G9" i="12"/>
  <c r="H9" i="12" s="1"/>
  <c r="G8" i="12"/>
  <c r="H8" i="12" s="1"/>
  <c r="H7" i="12"/>
  <c r="H6" i="12"/>
  <c r="H5" i="12"/>
  <c r="H4" i="12"/>
  <c r="I132" i="10"/>
  <c r="C132" i="10"/>
  <c r="I130" i="10" s="1"/>
  <c r="K115" i="10"/>
  <c r="K114" i="10"/>
  <c r="D104" i="10"/>
  <c r="D109" i="10" s="1"/>
  <c r="C97" i="10"/>
  <c r="C96" i="10"/>
  <c r="C95" i="10"/>
  <c r="C94" i="10"/>
  <c r="C93" i="10"/>
  <c r="C82" i="10"/>
  <c r="C80" i="10"/>
  <c r="C79" i="10"/>
  <c r="C77" i="10"/>
  <c r="C64" i="10"/>
  <c r="D60" i="10"/>
  <c r="D66" i="10" s="1"/>
  <c r="D72" i="10" s="1"/>
  <c r="C60" i="10"/>
  <c r="C55" i="10"/>
  <c r="C81" i="10" s="1"/>
  <c r="C38" i="10"/>
  <c r="C37" i="10"/>
  <c r="D25" i="10"/>
  <c r="D31" i="10" s="1"/>
  <c r="C21" i="10"/>
  <c r="C20" i="10"/>
  <c r="C19" i="10"/>
  <c r="D17" i="10"/>
  <c r="I132" i="9"/>
  <c r="C132" i="9"/>
  <c r="I130" i="9" s="1"/>
  <c r="K115" i="9"/>
  <c r="K114" i="9"/>
  <c r="J116" i="9" s="1"/>
  <c r="J117" i="9" s="1"/>
  <c r="D104" i="9"/>
  <c r="D109" i="9" s="1"/>
  <c r="C97" i="9"/>
  <c r="C96" i="9"/>
  <c r="C95" i="9"/>
  <c r="C94" i="9"/>
  <c r="C93" i="9"/>
  <c r="C99" i="9" s="1"/>
  <c r="C82" i="9"/>
  <c r="C80" i="9"/>
  <c r="C79" i="9"/>
  <c r="C77" i="9"/>
  <c r="C64" i="9"/>
  <c r="D60" i="9"/>
  <c r="D66" i="9" s="1"/>
  <c r="D72" i="9" s="1"/>
  <c r="C60" i="9"/>
  <c r="C65" i="9" s="1"/>
  <c r="C55" i="9"/>
  <c r="C81" i="9" s="1"/>
  <c r="C38" i="9"/>
  <c r="C37" i="9"/>
  <c r="D25" i="9"/>
  <c r="D31" i="9" s="1"/>
  <c r="D37" i="9" s="1"/>
  <c r="C21" i="9"/>
  <c r="C20" i="9"/>
  <c r="C19" i="9"/>
  <c r="D17" i="9"/>
  <c r="I132" i="8"/>
  <c r="C132" i="8"/>
  <c r="I130" i="8" s="1"/>
  <c r="K115" i="8"/>
  <c r="K114" i="8"/>
  <c r="J116" i="8" s="1"/>
  <c r="J117" i="8" s="1"/>
  <c r="D104" i="8"/>
  <c r="D109" i="8" s="1"/>
  <c r="C97" i="8"/>
  <c r="C96" i="8"/>
  <c r="C95" i="8"/>
  <c r="C94" i="8"/>
  <c r="C93" i="8"/>
  <c r="C82" i="8"/>
  <c r="C80" i="8"/>
  <c r="C79" i="8"/>
  <c r="C77" i="8"/>
  <c r="C64" i="8"/>
  <c r="C63" i="8"/>
  <c r="D60" i="8"/>
  <c r="D66" i="8" s="1"/>
  <c r="D72" i="8" s="1"/>
  <c r="C60" i="8"/>
  <c r="C65" i="8" s="1"/>
  <c r="C55" i="8"/>
  <c r="C81" i="8" s="1"/>
  <c r="C38" i="8"/>
  <c r="C37" i="8"/>
  <c r="D25" i="8"/>
  <c r="D31" i="8" s="1"/>
  <c r="C21" i="8"/>
  <c r="C20" i="8"/>
  <c r="C19" i="8"/>
  <c r="D13" i="8"/>
  <c r="I132" i="7"/>
  <c r="C132" i="7"/>
  <c r="I130" i="7"/>
  <c r="K115" i="7"/>
  <c r="K114" i="7"/>
  <c r="D104" i="7"/>
  <c r="D109" i="7" s="1"/>
  <c r="C97" i="7"/>
  <c r="C96" i="7"/>
  <c r="C95" i="7"/>
  <c r="C94" i="7"/>
  <c r="C93" i="7"/>
  <c r="C82" i="7"/>
  <c r="C80" i="7"/>
  <c r="C79" i="7"/>
  <c r="C77" i="7"/>
  <c r="C64" i="7"/>
  <c r="D60" i="7"/>
  <c r="D66" i="7" s="1"/>
  <c r="D72" i="7" s="1"/>
  <c r="C60" i="7"/>
  <c r="C55" i="7"/>
  <c r="C81" i="7" s="1"/>
  <c r="C38" i="7"/>
  <c r="C37" i="7"/>
  <c r="D25" i="7"/>
  <c r="D31" i="7" s="1"/>
  <c r="C21" i="7"/>
  <c r="C20" i="7"/>
  <c r="C19" i="7"/>
  <c r="D17" i="7"/>
  <c r="D13" i="7"/>
  <c r="I132" i="6"/>
  <c r="C132" i="6"/>
  <c r="I130" i="6" s="1"/>
  <c r="K115" i="6"/>
  <c r="K114" i="6"/>
  <c r="D104" i="6"/>
  <c r="D109" i="6" s="1"/>
  <c r="C97" i="6"/>
  <c r="C96" i="6"/>
  <c r="C95" i="6"/>
  <c r="C94" i="6"/>
  <c r="C93" i="6"/>
  <c r="C82" i="6"/>
  <c r="C80" i="6"/>
  <c r="C79" i="6"/>
  <c r="C77" i="6"/>
  <c r="C64" i="6"/>
  <c r="D60" i="6"/>
  <c r="D66" i="6" s="1"/>
  <c r="D72" i="6" s="1"/>
  <c r="C60" i="6"/>
  <c r="C65" i="6" s="1"/>
  <c r="C55" i="6"/>
  <c r="C81" i="6" s="1"/>
  <c r="C38" i="6"/>
  <c r="C37" i="6"/>
  <c r="D25" i="6"/>
  <c r="D31" i="6" s="1"/>
  <c r="C21" i="6"/>
  <c r="C20" i="6"/>
  <c r="C19" i="6"/>
  <c r="D17" i="6"/>
  <c r="D13" i="6"/>
  <c r="I132" i="5"/>
  <c r="C132" i="5"/>
  <c r="I130" i="5" s="1"/>
  <c r="K115" i="5"/>
  <c r="K114" i="5"/>
  <c r="D104" i="5"/>
  <c r="D109" i="5" s="1"/>
  <c r="C97" i="5"/>
  <c r="C96" i="5"/>
  <c r="C95" i="5"/>
  <c r="C94" i="5"/>
  <c r="C93" i="5"/>
  <c r="C82" i="5"/>
  <c r="C80" i="5"/>
  <c r="C79" i="5"/>
  <c r="C77" i="5"/>
  <c r="D66" i="5"/>
  <c r="D72" i="5" s="1"/>
  <c r="D60" i="5"/>
  <c r="C60" i="5"/>
  <c r="C63" i="5" s="1"/>
  <c r="C55" i="5"/>
  <c r="C81" i="5" s="1"/>
  <c r="C38" i="5"/>
  <c r="C37" i="5"/>
  <c r="D25" i="5"/>
  <c r="D26" i="5" s="1"/>
  <c r="D31" i="5" s="1"/>
  <c r="C21" i="5"/>
  <c r="D17" i="5"/>
  <c r="D13" i="5"/>
  <c r="I132" i="11"/>
  <c r="C132" i="11"/>
  <c r="I130" i="11" s="1"/>
  <c r="K115" i="11"/>
  <c r="K114" i="11"/>
  <c r="D104" i="11"/>
  <c r="D109" i="11" s="1"/>
  <c r="C97" i="11"/>
  <c r="C96" i="11"/>
  <c r="C95" i="11"/>
  <c r="C94" i="11"/>
  <c r="C93" i="11"/>
  <c r="C82" i="11"/>
  <c r="C80" i="11"/>
  <c r="C79" i="11"/>
  <c r="C77" i="11"/>
  <c r="C64" i="11"/>
  <c r="D60" i="11"/>
  <c r="D66" i="11" s="1"/>
  <c r="D72" i="11" s="1"/>
  <c r="C60" i="11"/>
  <c r="C63" i="11" s="1"/>
  <c r="C55" i="11"/>
  <c r="C81" i="11" s="1"/>
  <c r="C38" i="11"/>
  <c r="C37" i="11"/>
  <c r="D25" i="11"/>
  <c r="D31" i="11" s="1"/>
  <c r="C21" i="11"/>
  <c r="C20" i="11"/>
  <c r="C19" i="11"/>
  <c r="D17" i="11"/>
  <c r="D13" i="11"/>
  <c r="D147" i="2"/>
  <c r="D145" i="2"/>
  <c r="D144" i="2"/>
  <c r="D143" i="2"/>
  <c r="D142" i="2"/>
  <c r="D141" i="2"/>
  <c r="C135" i="2"/>
  <c r="C134" i="2"/>
  <c r="C133" i="2"/>
  <c r="C131" i="2"/>
  <c r="C130" i="2"/>
  <c r="D117" i="2"/>
  <c r="D116" i="2"/>
  <c r="D115" i="2"/>
  <c r="D119" i="2" s="1"/>
  <c r="D111" i="2"/>
  <c r="D110" i="2"/>
  <c r="D109" i="2"/>
  <c r="D94" i="2"/>
  <c r="D93" i="2"/>
  <c r="D92" i="2"/>
  <c r="D91" i="2"/>
  <c r="D90" i="2"/>
  <c r="D89" i="2"/>
  <c r="D95" i="2" s="1"/>
  <c r="D72" i="2"/>
  <c r="D70" i="2"/>
  <c r="D64" i="2"/>
  <c r="D63" i="2"/>
  <c r="D62" i="2"/>
  <c r="D74" i="2" s="1"/>
  <c r="D50" i="2"/>
  <c r="D49" i="2"/>
  <c r="D40" i="2"/>
  <c r="D73" i="2" s="1"/>
  <c r="D39" i="2"/>
  <c r="D38" i="2"/>
  <c r="D37" i="2"/>
  <c r="D36" i="2"/>
  <c r="D35" i="2"/>
  <c r="C35" i="2"/>
  <c r="D34" i="2"/>
  <c r="D33" i="2"/>
  <c r="D41" i="2" s="1"/>
  <c r="D23" i="2"/>
  <c r="D22" i="2"/>
  <c r="D24" i="2" s="1"/>
  <c r="D11" i="2"/>
  <c r="C99" i="11" l="1"/>
  <c r="C19" i="5"/>
  <c r="C20" i="5"/>
  <c r="C63" i="6"/>
  <c r="C99" i="6"/>
  <c r="J116" i="7"/>
  <c r="J117" i="7" s="1"/>
  <c r="D38" i="8"/>
  <c r="C99" i="10"/>
  <c r="J116" i="10"/>
  <c r="J117" i="10" s="1"/>
  <c r="D118" i="10" s="1"/>
  <c r="G62" i="12"/>
  <c r="F114" i="7" s="1" a="1"/>
  <c r="F114" i="7" s="1"/>
  <c r="D114" i="7" s="1"/>
  <c r="G110" i="12"/>
  <c r="F114" i="10" s="1" a="1"/>
  <c r="F114" i="10" s="1"/>
  <c r="D114" i="10" s="1"/>
  <c r="C65" i="5"/>
  <c r="G32" i="12"/>
  <c r="F114" i="5" s="1" a="1"/>
  <c r="F114" i="5" s="1"/>
  <c r="D114" i="5" s="1"/>
  <c r="D85" i="7"/>
  <c r="D141" i="7"/>
  <c r="D121" i="7"/>
  <c r="D37" i="7"/>
  <c r="D71" i="2"/>
  <c r="D130" i="2"/>
  <c r="D136" i="2" s="1"/>
  <c r="C83" i="8"/>
  <c r="D79" i="9"/>
  <c r="C132" i="2"/>
  <c r="D146" i="2"/>
  <c r="C99" i="5"/>
  <c r="C83" i="6"/>
  <c r="J116" i="6"/>
  <c r="J117" i="6" s="1"/>
  <c r="C65" i="11"/>
  <c r="D69" i="2"/>
  <c r="D75" i="2" s="1"/>
  <c r="J116" i="11"/>
  <c r="J117" i="11" s="1"/>
  <c r="D118" i="11" s="1"/>
  <c r="J116" i="5"/>
  <c r="J117" i="5" s="1"/>
  <c r="D118" i="5" s="1"/>
  <c r="C63" i="9"/>
  <c r="G80" i="12"/>
  <c r="F114" i="8" s="1" a="1"/>
  <c r="F114" i="8" s="1"/>
  <c r="D114" i="8" s="1"/>
  <c r="C83" i="10"/>
  <c r="C83" i="9"/>
  <c r="D38" i="5"/>
  <c r="D82" i="5"/>
  <c r="D79" i="5"/>
  <c r="D37" i="5"/>
  <c r="D80" i="5"/>
  <c r="D81" i="5" s="1"/>
  <c r="D141" i="5"/>
  <c r="D121" i="5"/>
  <c r="D85" i="5"/>
  <c r="D77" i="5"/>
  <c r="D41" i="5"/>
  <c r="D131" i="2"/>
  <c r="D37" i="11"/>
  <c r="D79" i="11"/>
  <c r="D141" i="11"/>
  <c r="D121" i="11"/>
  <c r="D85" i="11"/>
  <c r="D77" i="11"/>
  <c r="D41" i="11"/>
  <c r="D82" i="11"/>
  <c r="D80" i="11"/>
  <c r="D81" i="11" s="1"/>
  <c r="D38" i="11"/>
  <c r="D141" i="6"/>
  <c r="D121" i="6"/>
  <c r="D85" i="6"/>
  <c r="D82" i="6"/>
  <c r="D79" i="6"/>
  <c r="D41" i="6"/>
  <c r="D37" i="6"/>
  <c r="D39" i="6" s="1"/>
  <c r="D77" i="6"/>
  <c r="D80" i="6"/>
  <c r="D81" i="6" s="1"/>
  <c r="D38" i="6"/>
  <c r="C83" i="5"/>
  <c r="C83" i="11"/>
  <c r="D85" i="10"/>
  <c r="D77" i="10"/>
  <c r="D41" i="10"/>
  <c r="D80" i="10"/>
  <c r="D81" i="10" s="1"/>
  <c r="D38" i="10"/>
  <c r="D82" i="10"/>
  <c r="D79" i="10"/>
  <c r="D37" i="10"/>
  <c r="D141" i="10"/>
  <c r="C65" i="7"/>
  <c r="C63" i="7"/>
  <c r="C83" i="7"/>
  <c r="C99" i="8"/>
  <c r="D121" i="10"/>
  <c r="G15" i="12"/>
  <c r="F114" i="11" s="1" a="1"/>
  <c r="F114" i="11" s="1"/>
  <c r="D114" i="11" s="1"/>
  <c r="G47" i="12"/>
  <c r="F114" i="6" s="1" a="1"/>
  <c r="F114" i="6" s="1"/>
  <c r="D114" i="6" s="1"/>
  <c r="C99" i="7"/>
  <c r="D82" i="8"/>
  <c r="D79" i="8"/>
  <c r="D37" i="8"/>
  <c r="D141" i="8"/>
  <c r="D121" i="8"/>
  <c r="D85" i="8"/>
  <c r="D77" i="8"/>
  <c r="D41" i="8"/>
  <c r="D80" i="8"/>
  <c r="D81" i="8" s="1"/>
  <c r="C65" i="10"/>
  <c r="C63" i="10"/>
  <c r="D141" i="9"/>
  <c r="D121" i="9"/>
  <c r="D85" i="9"/>
  <c r="D77" i="9"/>
  <c r="D41" i="9"/>
  <c r="D80" i="9"/>
  <c r="D81" i="9" s="1"/>
  <c r="D38" i="9"/>
  <c r="D39" i="9" s="1"/>
  <c r="D82" i="9"/>
  <c r="G97" i="12"/>
  <c r="F114" i="9" s="1" a="1"/>
  <c r="F114" i="9" s="1"/>
  <c r="D114" i="9" s="1"/>
  <c r="D79" i="7"/>
  <c r="D82" i="7"/>
  <c r="D38" i="7"/>
  <c r="D80" i="7"/>
  <c r="D81" i="7" s="1"/>
  <c r="D41" i="7"/>
  <c r="D77" i="7"/>
  <c r="D39" i="7" l="1"/>
  <c r="D39" i="8"/>
  <c r="D119" i="16"/>
  <c r="D119" i="17"/>
  <c r="D148" i="2"/>
  <c r="D70" i="9"/>
  <c r="D42" i="9"/>
  <c r="D70" i="7"/>
  <c r="D42" i="7"/>
  <c r="D70" i="6"/>
  <c r="D42" i="6"/>
  <c r="D43" i="6"/>
  <c r="D70" i="8"/>
  <c r="D42" i="8"/>
  <c r="D43" i="8" s="1"/>
  <c r="D43" i="9"/>
  <c r="D39" i="10"/>
  <c r="D78" i="10"/>
  <c r="D83" i="10" s="1"/>
  <c r="D78" i="8"/>
  <c r="D83" i="8" s="1"/>
  <c r="D78" i="9"/>
  <c r="D83" i="9" s="1"/>
  <c r="D83" i="7"/>
  <c r="D78" i="7"/>
  <c r="D39" i="5"/>
  <c r="D119" i="8"/>
  <c r="D119" i="10"/>
  <c r="D119" i="7"/>
  <c r="D119" i="5"/>
  <c r="D119" i="6"/>
  <c r="D119" i="11"/>
  <c r="D119" i="9"/>
  <c r="D43" i="7"/>
  <c r="D39" i="11"/>
  <c r="D78" i="5"/>
  <c r="D83" i="5" s="1"/>
  <c r="D78" i="6"/>
  <c r="D83" i="6" s="1"/>
  <c r="D78" i="11"/>
  <c r="D83" i="11" s="1"/>
  <c r="D135" i="2"/>
  <c r="D132" i="2"/>
  <c r="D133" i="2"/>
  <c r="D134" i="2"/>
  <c r="D125" i="16" l="1"/>
  <c r="D126" i="16" s="1"/>
  <c r="D145" i="16"/>
  <c r="D146" i="16" s="1"/>
  <c r="D125" i="18"/>
  <c r="D126" i="18" s="1"/>
  <c r="D145" i="18"/>
  <c r="D146" i="18" s="1"/>
  <c r="D125" i="17"/>
  <c r="D126" i="17" s="1"/>
  <c r="D145" i="17"/>
  <c r="D146" i="17" s="1"/>
  <c r="D143" i="10"/>
  <c r="D123" i="10"/>
  <c r="D87" i="10"/>
  <c r="D87" i="11"/>
  <c r="D143" i="11"/>
  <c r="D123" i="11"/>
  <c r="D125" i="6"/>
  <c r="D145" i="6"/>
  <c r="D145" i="11"/>
  <c r="D125" i="11"/>
  <c r="D145" i="5"/>
  <c r="D125" i="5"/>
  <c r="D53" i="8"/>
  <c r="D47" i="8"/>
  <c r="D52" i="8"/>
  <c r="D51" i="8"/>
  <c r="D50" i="8"/>
  <c r="D54" i="8"/>
  <c r="D49" i="8"/>
  <c r="D48" i="8"/>
  <c r="D87" i="9"/>
  <c r="D123" i="9"/>
  <c r="D143" i="9"/>
  <c r="D145" i="9"/>
  <c r="D125" i="9"/>
  <c r="D87" i="6"/>
  <c r="D123" i="6"/>
  <c r="D143" i="6"/>
  <c r="D143" i="5"/>
  <c r="D123" i="5"/>
  <c r="D87" i="5"/>
  <c r="D145" i="7"/>
  <c r="D125" i="7"/>
  <c r="D143" i="8"/>
  <c r="D123" i="8"/>
  <c r="D87" i="8"/>
  <c r="D125" i="8"/>
  <c r="D145" i="8"/>
  <c r="D70" i="5"/>
  <c r="D42" i="5"/>
  <c r="D43" i="5" s="1"/>
  <c r="D52" i="9"/>
  <c r="D51" i="9"/>
  <c r="D50" i="9"/>
  <c r="D49" i="9"/>
  <c r="D54" i="9"/>
  <c r="D48" i="9"/>
  <c r="D53" i="9"/>
  <c r="D47" i="9"/>
  <c r="D51" i="6"/>
  <c r="D50" i="6"/>
  <c r="D49" i="6"/>
  <c r="D54" i="6"/>
  <c r="D48" i="6"/>
  <c r="D52" i="6"/>
  <c r="D53" i="6"/>
  <c r="D47" i="6"/>
  <c r="D70" i="11"/>
  <c r="D42" i="11"/>
  <c r="D43" i="11" s="1"/>
  <c r="D143" i="7"/>
  <c r="D123" i="7"/>
  <c r="D87" i="7"/>
  <c r="D50" i="7"/>
  <c r="D49" i="7"/>
  <c r="D54" i="7"/>
  <c r="D48" i="7"/>
  <c r="D53" i="7"/>
  <c r="D47" i="7"/>
  <c r="D52" i="7"/>
  <c r="D51" i="7"/>
  <c r="D145" i="10"/>
  <c r="D125" i="10"/>
  <c r="D70" i="10"/>
  <c r="D42" i="10"/>
  <c r="D43" i="10" s="1"/>
  <c r="D130" i="18" l="1"/>
  <c r="D131" i="18" s="1"/>
  <c r="I131" i="18" s="1"/>
  <c r="I133" i="18" s="1"/>
  <c r="D130" i="17"/>
  <c r="D130" i="16"/>
  <c r="D131" i="16" s="1"/>
  <c r="D52" i="11"/>
  <c r="D50" i="11"/>
  <c r="D53" i="11"/>
  <c r="D51" i="11"/>
  <c r="D48" i="11"/>
  <c r="D49" i="11"/>
  <c r="D54" i="11"/>
  <c r="D47" i="11"/>
  <c r="D54" i="5"/>
  <c r="D48" i="5"/>
  <c r="D49" i="5"/>
  <c r="D53" i="5"/>
  <c r="D47" i="5"/>
  <c r="D52" i="5"/>
  <c r="D51" i="5"/>
  <c r="D50" i="5"/>
  <c r="D50" i="10"/>
  <c r="D49" i="10"/>
  <c r="D54" i="10"/>
  <c r="D48" i="10"/>
  <c r="D53" i="10"/>
  <c r="D47" i="10"/>
  <c r="D52" i="10"/>
  <c r="D51" i="10"/>
  <c r="D55" i="7"/>
  <c r="D71" i="7" s="1"/>
  <c r="D73" i="7" s="1"/>
  <c r="D55" i="6"/>
  <c r="D71" i="6" s="1"/>
  <c r="D73" i="6" s="1"/>
  <c r="D55" i="8"/>
  <c r="D71" i="8" s="1"/>
  <c r="D73" i="8" s="1"/>
  <c r="D55" i="9"/>
  <c r="D71" i="9" s="1"/>
  <c r="D73" i="9" s="1"/>
  <c r="I131" i="16" l="1"/>
  <c r="I133" i="16" s="1"/>
  <c r="D133" i="16" s="1"/>
  <c r="D133" i="18"/>
  <c r="D134" i="18"/>
  <c r="D135" i="18"/>
  <c r="D131" i="17"/>
  <c r="I131" i="17" s="1"/>
  <c r="I133" i="17" s="1"/>
  <c r="D55" i="10"/>
  <c r="D71" i="10" s="1"/>
  <c r="D73" i="10" s="1"/>
  <c r="D142" i="8"/>
  <c r="D122" i="8"/>
  <c r="D86" i="8"/>
  <c r="D88" i="8" s="1"/>
  <c r="D142" i="6"/>
  <c r="D122" i="6"/>
  <c r="D86" i="6"/>
  <c r="D88" i="6" s="1"/>
  <c r="D142" i="7"/>
  <c r="D122" i="7"/>
  <c r="D86" i="7"/>
  <c r="D88" i="7" s="1"/>
  <c r="D55" i="5"/>
  <c r="D71" i="5" s="1"/>
  <c r="D73" i="5" s="1"/>
  <c r="D55" i="11"/>
  <c r="D71" i="11" s="1"/>
  <c r="D73" i="11" s="1"/>
  <c r="D142" i="9"/>
  <c r="D122" i="9"/>
  <c r="D86" i="9"/>
  <c r="D88" i="9" s="1"/>
  <c r="D135" i="16" l="1"/>
  <c r="D134" i="16"/>
  <c r="D135" i="17"/>
  <c r="D133" i="17"/>
  <c r="D134" i="17"/>
  <c r="D132" i="18"/>
  <c r="D136" i="18" s="1"/>
  <c r="D147" i="18" s="1"/>
  <c r="D148" i="18" s="1"/>
  <c r="F12" i="15" s="1"/>
  <c r="G12" i="15" s="1"/>
  <c r="D95" i="8"/>
  <c r="D98" i="8"/>
  <c r="D97" i="8"/>
  <c r="D94" i="8"/>
  <c r="D93" i="8"/>
  <c r="D96" i="8"/>
  <c r="D142" i="11"/>
  <c r="D122" i="11"/>
  <c r="D86" i="11"/>
  <c r="D88" i="11" s="1"/>
  <c r="D98" i="9"/>
  <c r="D97" i="9"/>
  <c r="D94" i="9"/>
  <c r="D96" i="9"/>
  <c r="D93" i="9"/>
  <c r="D95" i="9"/>
  <c r="D142" i="5"/>
  <c r="D122" i="5"/>
  <c r="D86" i="5"/>
  <c r="D88" i="5" s="1"/>
  <c r="D96" i="7"/>
  <c r="D93" i="7"/>
  <c r="D95" i="7"/>
  <c r="D94" i="7"/>
  <c r="D98" i="7"/>
  <c r="D97" i="7"/>
  <c r="D98" i="6"/>
  <c r="D97" i="6"/>
  <c r="D94" i="6"/>
  <c r="D93" i="6"/>
  <c r="D96" i="6"/>
  <c r="D95" i="6"/>
  <c r="D142" i="10"/>
  <c r="D122" i="10"/>
  <c r="D86" i="10"/>
  <c r="D88" i="10" s="1"/>
  <c r="D132" i="16" l="1"/>
  <c r="D136" i="16" s="1"/>
  <c r="D147" i="16" s="1"/>
  <c r="D148" i="16" s="1"/>
  <c r="F10" i="15" s="1"/>
  <c r="G10" i="15" s="1"/>
  <c r="D99" i="6"/>
  <c r="D108" i="6" s="1"/>
  <c r="D110" i="6" s="1"/>
  <c r="D132" i="17"/>
  <c r="D136" i="17" s="1"/>
  <c r="D147" i="17" s="1"/>
  <c r="D148" i="17" s="1"/>
  <c r="F11" i="15" s="1"/>
  <c r="G11" i="15" s="1"/>
  <c r="D99" i="8"/>
  <c r="D108" i="8" s="1"/>
  <c r="D110" i="8" s="1"/>
  <c r="D144" i="8" s="1"/>
  <c r="D146" i="8" s="1"/>
  <c r="D95" i="5"/>
  <c r="D93" i="5"/>
  <c r="D98" i="5"/>
  <c r="D97" i="5"/>
  <c r="D94" i="5"/>
  <c r="D96" i="5"/>
  <c r="D98" i="11"/>
  <c r="D95" i="11"/>
  <c r="D97" i="11"/>
  <c r="D94" i="11"/>
  <c r="D96" i="11"/>
  <c r="D93" i="11"/>
  <c r="D124" i="6"/>
  <c r="D126" i="6" s="1"/>
  <c r="D144" i="6"/>
  <c r="D146" i="6" s="1"/>
  <c r="D99" i="9"/>
  <c r="D108" i="9" s="1"/>
  <c r="D110" i="9" s="1"/>
  <c r="D96" i="10"/>
  <c r="D93" i="10"/>
  <c r="D95" i="10"/>
  <c r="D98" i="10"/>
  <c r="D94" i="10"/>
  <c r="D97" i="10"/>
  <c r="D99" i="7"/>
  <c r="D108" i="7" s="1"/>
  <c r="D110" i="7" s="1"/>
  <c r="D124" i="8" l="1"/>
  <c r="D126" i="8" s="1"/>
  <c r="D130" i="8" s="1"/>
  <c r="D144" i="7"/>
  <c r="D146" i="7" s="1"/>
  <c r="D124" i="7"/>
  <c r="D126" i="7" s="1"/>
  <c r="D130" i="6"/>
  <c r="D99" i="5"/>
  <c r="D108" i="5" s="1"/>
  <c r="D110" i="5" s="1"/>
  <c r="D144" i="9"/>
  <c r="D146" i="9" s="1"/>
  <c r="D124" i="9"/>
  <c r="D126" i="9" s="1"/>
  <c r="D99" i="10"/>
  <c r="D108" i="10" s="1"/>
  <c r="D110" i="10" s="1"/>
  <c r="D99" i="11"/>
  <c r="D108" i="11" s="1"/>
  <c r="D110" i="11" s="1"/>
  <c r="D130" i="9" l="1"/>
  <c r="D131" i="9" s="1"/>
  <c r="I131" i="9" s="1"/>
  <c r="I133" i="9" s="1"/>
  <c r="D144" i="10"/>
  <c r="D146" i="10" s="1"/>
  <c r="D124" i="10"/>
  <c r="D126" i="10" s="1"/>
  <c r="D144" i="5"/>
  <c r="D146" i="5" s="1"/>
  <c r="D124" i="5"/>
  <c r="D126" i="5" s="1"/>
  <c r="D131" i="8"/>
  <c r="I131" i="8" s="1"/>
  <c r="I133" i="8" s="1"/>
  <c r="D130" i="7"/>
  <c r="D144" i="11"/>
  <c r="D146" i="11" s="1"/>
  <c r="D124" i="11"/>
  <c r="D126" i="11" s="1"/>
  <c r="D131" i="6"/>
  <c r="D133" i="9" l="1"/>
  <c r="D135" i="9"/>
  <c r="D134" i="9"/>
  <c r="D133" i="8"/>
  <c r="D135" i="8"/>
  <c r="D134" i="8"/>
  <c r="D130" i="5"/>
  <c r="D130" i="11"/>
  <c r="D131" i="11" s="1"/>
  <c r="I131" i="6"/>
  <c r="I133" i="6" s="1"/>
  <c r="D131" i="7"/>
  <c r="D130" i="10"/>
  <c r="D132" i="8" l="1"/>
  <c r="D136" i="8" s="1"/>
  <c r="D147" i="8" s="1"/>
  <c r="D148" i="8" s="1"/>
  <c r="D133" i="6"/>
  <c r="D134" i="6"/>
  <c r="D135" i="6"/>
  <c r="I131" i="7"/>
  <c r="I133" i="7" s="1"/>
  <c r="D131" i="5"/>
  <c r="I131" i="5" s="1"/>
  <c r="I133" i="5" s="1"/>
  <c r="D131" i="10"/>
  <c r="D132" i="9"/>
  <c r="D136" i="9" s="1"/>
  <c r="D147" i="9" s="1"/>
  <c r="D148" i="9" s="1"/>
  <c r="I131" i="11"/>
  <c r="I133" i="11" s="1"/>
  <c r="F8" i="15" l="1"/>
  <c r="G8" i="15" s="1"/>
  <c r="F7" i="15"/>
  <c r="G7" i="15" s="1"/>
  <c r="D134" i="5"/>
  <c r="D135" i="5"/>
  <c r="D133" i="5"/>
  <c r="D132" i="6"/>
  <c r="D136" i="6" s="1"/>
  <c r="D147" i="6" s="1"/>
  <c r="D148" i="6" s="1"/>
  <c r="D133" i="11"/>
  <c r="D135" i="11"/>
  <c r="D134" i="11"/>
  <c r="I131" i="10"/>
  <c r="I133" i="10" s="1"/>
  <c r="D135" i="7"/>
  <c r="D134" i="7"/>
  <c r="D133" i="7"/>
  <c r="F5" i="15" l="1"/>
  <c r="G5" i="15" s="1"/>
  <c r="D132" i="5"/>
  <c r="D136" i="5" s="1"/>
  <c r="D147" i="5" s="1"/>
  <c r="D148" i="5" s="1"/>
  <c r="D132" i="11"/>
  <c r="D136" i="11" s="1"/>
  <c r="D147" i="11" s="1"/>
  <c r="D148" i="11" s="1"/>
  <c r="D132" i="7"/>
  <c r="D136" i="7" s="1"/>
  <c r="D147" i="7" s="1"/>
  <c r="D148" i="7" s="1"/>
  <c r="D135" i="10"/>
  <c r="D134" i="10"/>
  <c r="D133" i="10"/>
  <c r="F6" i="15" l="1"/>
  <c r="G6" i="15" s="1"/>
  <c r="F3" i="15"/>
  <c r="G3" i="15" s="1"/>
  <c r="F4" i="15"/>
  <c r="G4" i="15" s="1"/>
  <c r="D132" i="10"/>
  <c r="D136" i="10" s="1"/>
  <c r="D147" i="10" s="1"/>
  <c r="D148" i="10" s="1"/>
  <c r="F9" i="15" s="1"/>
  <c r="G9" i="15" s="1"/>
  <c r="G14" i="15" l="1"/>
  <c r="D105" i="2"/>
  <c r="C41" i="2"/>
  <c r="C95" i="2"/>
  <c r="D1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G16" authorId="0" shapeId="0" xr:uid="{00000000-0006-0000-0100-000001000000}">
      <text>
        <r>
          <rPr>
            <sz val="9"/>
            <rFont val="Tahoma"/>
            <family val="2"/>
          </rPr>
          <t>Daniel Carlos:
Valores que constam no caderno técnico. A unidade deve realizar pesquisa de mercado para o levantamento do percentual médio destas rubricas.</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<sst xmlns="http://schemas.openxmlformats.org/spreadsheetml/2006/main" count="3454" uniqueCount="421">
  <si>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</si>
  <si>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</si>
  <si>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</si>
  <si>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family val="2"/>
      </rPr>
      <t xml:space="preserve">Para não haver alteração nas fórmulas constantes nas planilhas, recomenda-se, com exceção da aba "Ambientes", que somente se altere os valores que constam células com fundo </t>
    </r>
    <r>
      <rPr>
        <u/>
        <sz val="11"/>
        <color rgb="FFF4B183"/>
        <rFont val="Calibri"/>
        <family val="2"/>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</si>
  <si>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</si>
  <si>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</si>
  <si>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</si>
  <si>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</si>
  <si>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</si>
  <si>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</si>
  <si>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</si>
  <si>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</si>
  <si>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</si>
  <si>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</si>
  <si>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</si>
  <si>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</si>
  <si>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</si>
  <si>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</si>
  <si>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</si>
  <si>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</si>
  <si>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</si>
  <si>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</si>
  <si>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</si>
  <si>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</si>
  <si>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</si>
  <si>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</si>
  <si>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</si>
  <si>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</si>
  <si>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</si>
  <si>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</si>
  <si>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</si>
  <si>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</si>
  <si>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</si>
  <si>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</si>
  <si>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</si>
  <si>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</si>
  <si>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</si>
  <si>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</si>
  <si>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</si>
  <si>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</si>
  <si>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</si>
  <si>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</si>
  <si>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</si>
  <si>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</si>
  <si>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</si>
  <si>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</si>
  <si>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</si>
  <si>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</si>
  <si>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</si>
  <si>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</si>
  <si>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</si>
  <si>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</si>
  <si>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</si>
  <si>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</si>
  <si>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</si>
  <si>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</si>
  <si>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</si>
  <si>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</si>
  <si>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</si>
  <si>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</si>
  <si>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</si>
  <si>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</si>
  <si>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</si>
  <si>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</si>
  <si>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</si>
  <si>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</si>
  <si>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</si>
  <si>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</si>
  <si>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</si>
  <si>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</si>
  <si>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</si>
  <si>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</si>
  <si>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</si>
  <si>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</si>
  <si>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</si>
  <si>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</si>
  <si>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</si>
  <si>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</si>
  <si>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</si>
  <si>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</si>
  <si>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</si>
  <si>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</si>
  <si>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</si>
  <si>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</si>
  <si>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</si>
  <si>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</si>
  <si>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</si>
  <si>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</si>
  <si>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</si>
  <si>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</si>
  <si>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</si>
  <si>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</si>
  <si>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</si>
  <si>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</si>
  <si>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</si>
  <si>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</si>
  <si>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</si>
  <si>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</si>
  <si>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</si>
  <si>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</si>
  <si>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</si>
  <si>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</si>
  <si>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</si>
  <si>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</si>
  <si>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</si>
  <si>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</si>
  <si>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</si>
  <si>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</si>
  <si>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</si>
  <si>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</si>
  <si>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</si>
  <si>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</si>
  <si>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</si>
  <si>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</si>
  <si>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</si>
  <si>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</si>
  <si>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</si>
  <si>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</si>
  <si>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</si>
  <si>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</si>
  <si>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</si>
  <si>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</si>
  <si>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</si>
  <si>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</si>
  <si>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</si>
  <si>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</si>
  <si>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</si>
  <si>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</si>
  <si>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</si>
  <si>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</si>
  <si>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</si>
  <si>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</si>
  <si>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</si>
  <si>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</si>
  <si>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</si>
  <si>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</si>
  <si>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</si>
  <si>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</si>
  <si>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</si>
  <si>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</si>
  <si>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</si>
  <si>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</si>
  <si>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</si>
  <si>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</si>
  <si>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</si>
  <si>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</si>
  <si>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</si>
  <si>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</si>
  <si>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</si>
  <si>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</si>
  <si>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</si>
  <si>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</si>
  <si>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</si>
  <si>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</si>
  <si>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</si>
  <si>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</si>
  <si>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</si>
  <si>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</si>
  <si>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</si>
  <si>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</si>
  <si>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</si>
  <si>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</si>
  <si>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</si>
  <si>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</si>
  <si>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</si>
  <si>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</si>
  <si>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</si>
  <si>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</si>
  <si>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</si>
  <si>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</si>
  <si>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</si>
  <si>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</si>
  <si>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</si>
  <si>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</si>
  <si>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</si>
  <si>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</si>
  <si>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</si>
  <si>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</si>
  <si>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t>Licitação n°</t>
  </si>
  <si>
    <t>Discriminação dos Serviços (Dados Referente à Contratação)</t>
  </si>
  <si>
    <t>Data -  Apresentação da Proposta</t>
  </si>
  <si>
    <t>Município - ISSQN</t>
  </si>
  <si>
    <t>ISSQN 5 % (cinco por cento)</t>
  </si>
  <si>
    <t>Ano Acordo, Convenção ou Dissídio Coletivo</t>
  </si>
  <si>
    <t>CCT PB000517/2021</t>
  </si>
  <si>
    <t>Número de Meses de Execução Contratual</t>
  </si>
  <si>
    <t>12 (doze) meses</t>
  </si>
  <si>
    <t>Identificação do Serviço</t>
  </si>
  <si>
    <t>Tipo de Serviço</t>
  </si>
  <si>
    <t>Unidade de Medida</t>
  </si>
  <si>
    <t>Quantidade Total a Contratar</t>
  </si>
  <si>
    <t>Pedreiro</t>
  </si>
  <si>
    <t>44 horas</t>
  </si>
  <si>
    <t>MTE</t>
  </si>
  <si>
    <t>7152-10</t>
  </si>
  <si>
    <t>SEAC-PB</t>
  </si>
  <si>
    <t>01/JANEIRO</t>
  </si>
  <si>
    <t>GRUPO VIII</t>
  </si>
  <si>
    <t>Adicional de Periculosidade*</t>
  </si>
  <si>
    <t>Adicional de Insalubridade*</t>
  </si>
  <si>
    <t>*Atentar às disposições estabelecidas no subitem 10.1.8 do Termo de Referência</t>
  </si>
  <si>
    <t>BASE DE CÁLCULO PARA O SUBMÓDULO 2.2</t>
  </si>
  <si>
    <t>MÓDULO 1</t>
  </si>
  <si>
    <t>MÓDULO 2.1</t>
  </si>
  <si>
    <t>TOTAL</t>
  </si>
  <si>
    <t>SAT (+FAP de 0,5 a 2,0) (Variação: 0,5% a 6 %)</t>
  </si>
  <si>
    <r>
      <rPr>
        <sz val="11"/>
        <color rgb="FF000000"/>
        <rFont val="Calibri"/>
        <family val="2"/>
      </rPr>
      <t>Intervalo Intrajornada (</t>
    </r>
    <r>
      <rPr>
        <sz val="10"/>
        <color rgb="FF000000"/>
        <rFont val="Calibri"/>
        <family val="2"/>
      </rPr>
      <t>não usufruído pelo empregado</t>
    </r>
    <r>
      <rPr>
        <sz val="11"/>
        <color rgb="FF000000"/>
        <rFont val="Calibri"/>
        <family val="2"/>
      </rPr>
      <t>)</t>
    </r>
  </si>
  <si>
    <t>Benefício Odontológico</t>
  </si>
  <si>
    <t>Auxílio Morte/Funeral</t>
  </si>
  <si>
    <t>Plano de Assistência Familiar e Social</t>
  </si>
  <si>
    <t>Incidência de GPS, FGTS e outras contribuições sobre o Aviso Prévio Trabalhado</t>
  </si>
  <si>
    <t>BASE DE CÁLCULO PARA O MÓDULO 4</t>
  </si>
  <si>
    <t>MÓDULO 2</t>
  </si>
  <si>
    <t>MÓDULO 3</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</si>
  <si>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</si>
  <si>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</si>
  <si>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</si>
  <si>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</si>
  <si>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DIÁRIAS</t>
  </si>
  <si>
    <t>QUANTIDADE (ANUAL)</t>
  </si>
  <si>
    <t>VALOR UNITÁRIO</t>
  </si>
  <si>
    <t>VALOR TOTAL</t>
  </si>
  <si>
    <t>Uniformes e Equipamento de Proteção Individual - EPI</t>
  </si>
  <si>
    <t>Com Pernoite*</t>
  </si>
  <si>
    <t>Equipamentos de Proteção Coletiva - EPC</t>
  </si>
  <si>
    <t>Sem Pernoite*</t>
  </si>
  <si>
    <t>VALOR TOTAL MENSAL</t>
  </si>
  <si>
    <t>Diárias</t>
  </si>
  <si>
    <t>* Valores estabelecidos em conformidade com as disposição da CCT n.° PB 000517/2021</t>
  </si>
  <si>
    <t>BASE DE CÁLCULO PARA O MÓDULO 6</t>
  </si>
  <si>
    <t>MÓDULO 4</t>
  </si>
  <si>
    <t>MÓDULO 5</t>
  </si>
  <si>
    <t>CÁLCULO POR DENTRO</t>
  </si>
  <si>
    <t>TOTAL DOS TRIBUTOS</t>
  </si>
  <si>
    <t>BASE DE CÁLCULO</t>
  </si>
  <si>
    <t>ÍNDICE</t>
  </si>
  <si>
    <t>C.1 - PIS</t>
  </si>
  <si>
    <t>C.2 - COFINS</t>
  </si>
  <si>
    <t>C.3 - ISS</t>
  </si>
  <si>
    <t>Subtotal (A + B + C + D + E)</t>
  </si>
  <si>
    <t>VALOR TOTAL POR EMPREGADO</t>
  </si>
  <si>
    <t>Eletricista</t>
  </si>
  <si>
    <t>7156-10</t>
  </si>
  <si>
    <t>Lei n.° 12.740/2012 – NR 16 Anexo IV</t>
  </si>
  <si>
    <t>Pintor</t>
  </si>
  <si>
    <t>7166-10</t>
  </si>
  <si>
    <t>Jardineiro</t>
  </si>
  <si>
    <t>6220-10</t>
  </si>
  <si>
    <t>GRUPO III</t>
  </si>
  <si>
    <t>GRUPO I</t>
  </si>
  <si>
    <t>UNIFORMES E EQUIPAMENTOS DE PROTEÇÃO INDIVIDUAL E COLETIVO</t>
  </si>
  <si>
    <t>PEDREIRO</t>
  </si>
  <si>
    <t>ITEM</t>
  </si>
  <si>
    <t>PEÇA</t>
  </si>
  <si>
    <t>DESCRIÇÃO</t>
  </si>
  <si>
    <t>UNIDADE</t>
  </si>
  <si>
    <t>VALOR MÉDIO UNITÁRIO (R$)</t>
  </si>
  <si>
    <t>QUANTIDADE ANUAL</t>
  </si>
  <si>
    <t>VALOR ANUAL POR EMPREGADO (R$)</t>
  </si>
  <si>
    <t>VALOR MENSAL POR EMPREGADO (R$)</t>
  </si>
  <si>
    <t>CALÇA</t>
  </si>
  <si>
    <t>Calça com cós de elástico, dois bolsos frontais e dois bolsos na traseira, confeccionado em brim 100% algodão, sem partes metálicas.</t>
  </si>
  <si>
    <t>Unidade</t>
  </si>
  <si>
    <t>CAMISA</t>
  </si>
  <si>
    <t>Camisa com gola tipo italiana, com mangas curtas, identificação da empresa na parte frontal, confeccionada em brim 100% algodão.</t>
  </si>
  <si>
    <t>Camisa tipo Polo em Piquet de Malha – 50% algodão e 50% poliéster,  com mangas curtas, identificação da empresa na parte frontal, na cor Branca.</t>
  </si>
  <si>
    <t>BONÉ</t>
  </si>
  <si>
    <t>Boné árabe em brim 100% algodão para proteção da face em trabalhos a céu aberto.</t>
  </si>
  <si>
    <t>MANGUITO PROTEÇÃO UV</t>
  </si>
  <si>
    <t>Manguito Proteção UV 50: Dimensões Aproximadas: P: 9x27,7 cm (L x C), G: 9,5x41 cm (L x P), Composição: 94% Poliamida e 6% Elastano; Proteção UV, Antimicrobial, Seamless Dry, Proteção Solar: Com FPS; na cor preta.</t>
  </si>
  <si>
    <t>Par</t>
  </si>
  <si>
    <t>CALÇADO</t>
  </si>
  <si>
    <t>CRACHÁ</t>
  </si>
  <si>
    <t xml:space="preserve"> Crachá de identiﬁcação, em plástico rígido, contendo logomarca da empresa, foto e nome completo do funcionário.</t>
  </si>
  <si>
    <t>LUVA</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</si>
  <si>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</si>
  <si>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</si>
  <si>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</si>
  <si>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</si>
  <si>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</si>
  <si>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</si>
  <si>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</si>
  <si>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</si>
  <si>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</si>
  <si>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</si>
  <si>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</si>
  <si>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Luva de segurança isolante em borracha para alta tensão 20Kv, classe 2, para tensão máxima de uso até 17.000V.</t>
  </si>
  <si>
    <t>PINTOR</t>
  </si>
  <si>
    <t>JARDINEIRO</t>
  </si>
  <si>
    <t>CAPA DE CHUVA</t>
  </si>
  <si>
    <t>Capa de chuva confeccionada em PVC com forro de poliéster, com mangas, capuz conjugado, fechamento frontal por meio de botões, fechamento das costuras através de solda eletrônica.</t>
  </si>
  <si>
    <t>VALOR TOTAL ESTIMADO</t>
  </si>
  <si>
    <t>PLANILHA RESUMO</t>
  </si>
  <si>
    <t>Quantidade</t>
  </si>
  <si>
    <t>VIGÊNCIA (Mês)</t>
  </si>
  <si>
    <t>VALOR UNITÁRIO MÁXIMO ACEITÁVEL</t>
  </si>
  <si>
    <t>VALOR TOTAL MÁXIMO ACEITÁVEL</t>
  </si>
  <si>
    <r>
      <rPr>
        <sz val="11"/>
        <color theme="1"/>
        <rFont val="Calibri"/>
        <family val="2"/>
        <scheme val="minor"/>
      </rPr>
      <t xml:space="preserve">PRESTAÇÃO DE SERVIÇOS DE APOIO ADMINISTRATIVO - Posto de serviços: </t>
    </r>
    <r>
      <rPr>
        <b/>
        <sz val="11"/>
        <color theme="1"/>
        <rFont val="Calibri"/>
        <family val="2"/>
        <scheme val="minor"/>
      </rPr>
      <t>PEDREIRO - CBO: 7152-10</t>
    </r>
    <r>
      <rPr>
        <sz val="11"/>
        <color theme="1"/>
        <rFont val="Calibri"/>
        <family val="2"/>
        <scheme val="minor"/>
      </rPr>
      <t>, em jornada semanal de 44 (quarenta e quatro) horas</t>
    </r>
  </si>
  <si>
    <t>POSTO</t>
  </si>
  <si>
    <r>
      <rPr>
        <sz val="11"/>
        <color theme="1"/>
        <rFont val="Calibri"/>
        <family val="2"/>
        <scheme val="minor"/>
      </rPr>
      <t xml:space="preserve">PRESTAÇÃO DE SERVIÇOS DE APOIO ADMINISTRATIVO - Posto de serviços: </t>
    </r>
    <r>
      <rPr>
        <b/>
        <sz val="11"/>
        <color theme="1"/>
        <rFont val="Calibri"/>
        <family val="2"/>
        <scheme val="minor"/>
      </rPr>
      <t>ELETRICISTA - CBO: 7156-10</t>
    </r>
    <r>
      <rPr>
        <sz val="11"/>
        <color theme="1"/>
        <rFont val="Calibri"/>
        <family val="2"/>
        <scheme val="minor"/>
      </rPr>
      <t>, em jornada semanal de 44 (quarenta e quatro) horas.</t>
    </r>
  </si>
  <si>
    <r>
      <rPr>
        <sz val="11"/>
        <color theme="1"/>
        <rFont val="Calibri"/>
        <family val="2"/>
        <scheme val="minor"/>
      </rPr>
      <t xml:space="preserve">PRESTAÇÃO DE SERVIÇOS DE APOIO ADMINISTRATIVO - Posto de serviços: </t>
    </r>
    <r>
      <rPr>
        <b/>
        <sz val="11"/>
        <color theme="1"/>
        <rFont val="Calibri"/>
        <family val="2"/>
        <scheme val="minor"/>
      </rPr>
      <t>PINTOR - CBO: 7166-10</t>
    </r>
    <r>
      <rPr>
        <sz val="11"/>
        <color theme="1"/>
        <rFont val="Calibri"/>
        <family val="2"/>
        <scheme val="minor"/>
      </rPr>
      <t>, em jornada semanal de 44 (quarenta e quatro) horas.</t>
    </r>
  </si>
  <si>
    <r>
      <rPr>
        <sz val="11"/>
        <color theme="1"/>
        <rFont val="Calibri"/>
        <family val="2"/>
        <scheme val="minor"/>
      </rPr>
      <t xml:space="preserve">PRESTAÇÃO DE SERVIÇOS DE APOIO ADMINISTRATIVO - Posto de serviços: </t>
    </r>
    <r>
      <rPr>
        <b/>
        <sz val="11"/>
        <color theme="1"/>
        <rFont val="Calibri"/>
        <family val="2"/>
        <scheme val="minor"/>
      </rPr>
      <t>JARDINEIRO - CBO: 6220-10</t>
    </r>
    <r>
      <rPr>
        <sz val="11"/>
        <color theme="1"/>
        <rFont val="Calibri"/>
        <family val="2"/>
        <scheme val="minor"/>
      </rPr>
      <t>, em jornada semanal de 44 (quarenta e quatro) horas.</t>
    </r>
  </si>
  <si>
    <t>xx/02/2023</t>
  </si>
  <si>
    <t>5143-25</t>
  </si>
  <si>
    <t>5143-30</t>
  </si>
  <si>
    <t>Piscineiro</t>
  </si>
  <si>
    <t>Técnico em Manutenção Predial</t>
  </si>
  <si>
    <t>Cozinheira</t>
  </si>
  <si>
    <t>5132-05</t>
  </si>
  <si>
    <t>Auxiliar de Cozinha</t>
  </si>
  <si>
    <t>5135-05</t>
  </si>
  <si>
    <t>Motorista Interestadual</t>
  </si>
  <si>
    <t>Recepcionista Secretária</t>
  </si>
  <si>
    <t>4221-05</t>
  </si>
  <si>
    <r>
      <t>Processo Administrativo n.°</t>
    </r>
    <r>
      <rPr>
        <sz val="11"/>
        <color rgb="FF000000"/>
        <rFont val="Calibri"/>
        <family val="2"/>
      </rPr>
      <t xml:space="preserve"> </t>
    </r>
    <r>
      <rPr>
        <b/>
        <sz val="11"/>
        <color rgb="FF000000"/>
        <rFont val="Calibri"/>
        <family val="2"/>
      </rPr>
      <t>23324.000132.2023-89</t>
    </r>
  </si>
  <si>
    <t>TÉCNICO EM MANUTENÇÃO PREDIAL</t>
  </si>
  <si>
    <t>PISCINEIRO</t>
  </si>
  <si>
    <t>COZINHEIRA</t>
  </si>
  <si>
    <t>Na cor branco, com dois bolsos traseiros</t>
  </si>
  <si>
    <t>Na cor branco, com logomarca da empresa</t>
  </si>
  <si>
    <t>Bota de PVC Branco do tipo Capataz</t>
  </si>
  <si>
    <t>Para proteção das mãos contra agentes cortantes: luvas em malha de aço.</t>
  </si>
  <si>
    <t xml:space="preserve">Na cor branco, em PVC </t>
  </si>
  <si>
    <t>AVENTAL</t>
  </si>
  <si>
    <t>AUXILIAR DE COZINHA</t>
  </si>
  <si>
    <t>Proteção contra Respingos de Produtos Químicos e Proteção contra raios Ultraviolenteas, Com CA expedido MTE de acordo com a NR 6; Testados pela norma ANSI.Z.87.1/1989 da Fundacentro. Modelo de sobreposição (p/ser usado sobre óculos graduados).</t>
  </si>
  <si>
    <t>RECEPCIONISTA</t>
  </si>
  <si>
    <t xml:space="preserve">Modelo Social, em tecido microfibra, com braguilha forrada, dois bolsos laterais, dois bolsos traseiros e presilhas para cinto. </t>
  </si>
  <si>
    <t>Cor preta, tipo social, de couro.</t>
  </si>
  <si>
    <t>MOTORISTA INTERESTADUAL</t>
  </si>
  <si>
    <t>CAMISA SOCIAL</t>
  </si>
  <si>
    <t>CALÇA SOCIAL</t>
  </si>
  <si>
    <r>
      <t xml:space="preserve">PRESTAÇÃO DE SERVIÇOS DE APOIO ADMINISTRATIVO - Posto de serviços: </t>
    </r>
    <r>
      <rPr>
        <b/>
        <sz val="11"/>
        <color theme="1"/>
        <rFont val="Calibri"/>
        <family val="2"/>
        <scheme val="minor"/>
      </rPr>
      <t>TÉCNICO EM MANUTENÇÃO PREDIAL - CBO: 5143-25</t>
    </r>
    <r>
      <rPr>
        <sz val="11"/>
        <color theme="1"/>
        <rFont val="Calibri"/>
        <family val="2"/>
        <scheme val="minor"/>
      </rPr>
      <t>, em jornada semanal de 44 (quarenta e quatro) horas.</t>
    </r>
  </si>
  <si>
    <r>
      <t xml:space="preserve">PRESTAÇÃO DE SERVIÇOS DE APOIO ADMINISTRATIVO - Posto de serviços: </t>
    </r>
    <r>
      <rPr>
        <b/>
        <sz val="11"/>
        <color theme="1"/>
        <rFont val="Calibri"/>
        <family val="2"/>
        <scheme val="minor"/>
      </rPr>
      <t>PISCINEIRO - CBO: 5143-30</t>
    </r>
    <r>
      <rPr>
        <sz val="11"/>
        <color theme="1"/>
        <rFont val="Calibri"/>
        <family val="2"/>
        <scheme val="minor"/>
      </rPr>
      <t>, em jornada semanal de 44 (quarenta e quatro) horas.</t>
    </r>
  </si>
  <si>
    <r>
      <t xml:space="preserve">PRESTAÇÃO DE SERVIÇOS DE APOIO ADMINISTRATIVO - Posto de serviços: </t>
    </r>
    <r>
      <rPr>
        <b/>
        <sz val="11"/>
        <color theme="1"/>
        <rFont val="Calibri"/>
        <family val="2"/>
        <scheme val="minor"/>
      </rPr>
      <t>COZINHEIRA - CBO: 5132-05</t>
    </r>
    <r>
      <rPr>
        <sz val="11"/>
        <color theme="1"/>
        <rFont val="Calibri"/>
        <family val="2"/>
        <scheme val="minor"/>
      </rPr>
      <t>, em jornada semanal de 44 (quarenta e quatro) horas.</t>
    </r>
  </si>
  <si>
    <r>
      <t xml:space="preserve">PRESTAÇÃO DE SERVIÇOS DE APOIO ADMINISTRATIVO - Posto de serviços: </t>
    </r>
    <r>
      <rPr>
        <b/>
        <sz val="11"/>
        <color theme="1"/>
        <rFont val="Calibri"/>
        <family val="2"/>
        <scheme val="minor"/>
      </rPr>
      <t>AUXILIAR DE COZINHA - CBO: 5135-05</t>
    </r>
    <r>
      <rPr>
        <sz val="11"/>
        <color theme="1"/>
        <rFont val="Calibri"/>
        <family val="2"/>
        <scheme val="minor"/>
      </rPr>
      <t>, em jornada semanal de 44 (quarenta e quatro) horas.</t>
    </r>
  </si>
  <si>
    <r>
      <t xml:space="preserve">PRESTAÇÃO DE SERVIÇOS DE APOIO ADMINISTRATIVO - Posto de serviços: </t>
    </r>
    <r>
      <rPr>
        <b/>
        <sz val="11"/>
        <color theme="1"/>
        <rFont val="Calibri"/>
        <family val="2"/>
        <scheme val="minor"/>
      </rPr>
      <t>RECEPCIONISTA - CBO: 4221-05</t>
    </r>
    <r>
      <rPr>
        <sz val="11"/>
        <color theme="1"/>
        <rFont val="Calibri"/>
        <family val="2"/>
        <scheme val="minor"/>
      </rPr>
      <t>, em jornada semanal de 44 (quarenta e quatro) horas.</t>
    </r>
  </si>
  <si>
    <t>DIÁRIA MOTORISTA</t>
  </si>
  <si>
    <t>DIÁRIA</t>
  </si>
  <si>
    <t>7823-05</t>
  </si>
  <si>
    <r>
      <t xml:space="preserve">PRESTAÇÃO DE SERVIÇOS DE APOIO ADMINISTRATIVO - Posto de serviços: </t>
    </r>
    <r>
      <rPr>
        <b/>
        <sz val="11"/>
        <color theme="1"/>
        <rFont val="Calibri"/>
        <family val="2"/>
        <scheme val="minor"/>
      </rPr>
      <t>MOTORISTA INTERESTADUAL - CBO: 7823-05</t>
    </r>
    <r>
      <rPr>
        <sz val="11"/>
        <color theme="1"/>
        <rFont val="Calibri"/>
        <family val="2"/>
        <scheme val="minor"/>
      </rPr>
      <t>, em jornada semanal de 44 (quarenta e quatro) horas.</t>
    </r>
  </si>
  <si>
    <t>QUANTIDADE ESTIMADA ANUAL DE DIÁRIAS</t>
  </si>
  <si>
    <t>(A)</t>
  </si>
  <si>
    <t>(B)</t>
  </si>
  <si>
    <t>(C)=(A) X (B)</t>
  </si>
  <si>
    <t>TRIBUTAÇÃO INCIDENTE</t>
  </si>
  <si>
    <t>FATURAMENTO</t>
  </si>
  <si>
    <t>VALOR UNITÁRIO DA DIÁRIA</t>
  </si>
  <si>
    <t>COEFICIENTE</t>
  </si>
  <si>
    <t>CUSTOS INDIRETOS E LUCRO</t>
  </si>
  <si>
    <t>PERCENTUAL</t>
  </si>
  <si>
    <t>VALOR</t>
  </si>
  <si>
    <t>CUSTOS INDIRETOS</t>
  </si>
  <si>
    <t>LUCRO</t>
  </si>
  <si>
    <t>SUBTOTAL</t>
  </si>
  <si>
    <t>TRIBUTOS SOBRE O FATURAMENTO*</t>
  </si>
  <si>
    <t>VALOR**</t>
  </si>
  <si>
    <t>*FATURAMENTO: Considera-se faturamento para o cálculo dos tributos: o valor da diária + (custos indiretos e lucro). Ex.: Os tributos foram
calculados por dentro utilizando o coeficiente (1 - 8,65% = 91,35% ou 0,9135).</t>
  </si>
  <si>
    <t>**((Vr. faturamento) / (0,9135)) x Percentual da alíquota do tributo.</t>
  </si>
  <si>
    <t>Materiais para uso do Piscineiro</t>
  </si>
  <si>
    <t>Mensal</t>
  </si>
  <si>
    <t>Peça</t>
  </si>
  <si>
    <t>Quantidade Anual</t>
  </si>
  <si>
    <t>Preço Unitário</t>
  </si>
  <si>
    <t xml:space="preserve">Preço Total </t>
  </si>
  <si>
    <t>Cloro</t>
  </si>
  <si>
    <t>Cloro Estabilizado, PACE Dicloro 60%, Alta concentração; 10 KG, Para água de Poço, Eficaz para Eliminar Bactérias, Oxidar Matéria Orgânica, Inibir Odores, Prevenir Transmissão de Doenças.</t>
  </si>
  <si>
    <t>Clarificante</t>
  </si>
  <si>
    <t xml:space="preserve">Clarificante para piscinas; 1 Litro; Maxfloc; </t>
  </si>
  <si>
    <t>Algicida</t>
  </si>
  <si>
    <t xml:space="preserve">Algicida Choque; 1 Litro; para manutenção de água de poço; Prevenir o aparecimento de algas em piscina de Alvenaria, Não contém cobre; não mancha revestimentos;  não deixa o cabelo verde. </t>
  </si>
  <si>
    <t>Luvas</t>
  </si>
  <si>
    <t>Luvas em nitrílica para proteção contra agentes químicos, com punho reto de 33 cm de comprimento para trabalho de limpeza e manutenção.Possuir CA expedido pelo MTE de acordo com a NR 6.</t>
  </si>
  <si>
    <t>Preço Total Mensal</t>
  </si>
  <si>
    <t>Preço Total</t>
  </si>
  <si>
    <t>Semestral</t>
  </si>
  <si>
    <t>Máscara de Proteção</t>
  </si>
  <si>
    <t>Para proteção das vias respiratórias (PFF2) contra poeiras, névoas e fumos de acordo com o Anexo I da NR 6; Possuir CA expedido pelo MTE de acordo com a NR 6.</t>
  </si>
  <si>
    <t>Escova para piscina</t>
  </si>
  <si>
    <t>Escova de Plástico e Nylon 30 cm para piscina de Alvenaria, utilizada na limpeza das paredes, fundo e cantos.</t>
  </si>
  <si>
    <t>Preço Total Semestral</t>
  </si>
  <si>
    <t>Preço Total/6</t>
  </si>
  <si>
    <t>Anual</t>
  </si>
  <si>
    <t>Vara Telescópica</t>
  </si>
  <si>
    <t>Cabo Telescópico – 8 metros, fabricado em dois tubos corrugados de alumínio, com tamanho ajustável conforme necessidade.</t>
  </si>
  <si>
    <t>Aspirador de Piscina</t>
  </si>
  <si>
    <t>Aspirador plástico de fundo MEIA LUA com escova de nylon para sucção da sujeira presente no fundo da piscina. Para piscina de Alvenaria Tamanho: 25 cm</t>
  </si>
  <si>
    <t>Mangueira</t>
  </si>
  <si>
    <t>Mangueira Flutuante, 25 metros, fabricada em EVA flexível transparente, reforçada com espiral de PP (Polipropileno) rígido, para limpeza de piscinas.</t>
  </si>
  <si>
    <t>Preço Total Anual</t>
  </si>
  <si>
    <t>Preço Total/12</t>
  </si>
  <si>
    <t>Materiais para uso do Jardineiro</t>
  </si>
  <si>
    <t>Kit Ferramentas para Jardim</t>
  </si>
  <si>
    <t>1 espátula longa, 1 espátula fina, 1 arejador tridente, 1 tesoura para talos e troncos, 1 tesoura para corte de flores, 1 borrifador e 1 bolsa de transporte</t>
  </si>
  <si>
    <t>Equipamento para uso do Jardineiro</t>
  </si>
  <si>
    <t>Podador Elétrico</t>
  </si>
  <si>
    <t>Podador de cerca viva elétrico 600W, Pcv 600 e 220 Volts</t>
  </si>
  <si>
    <t>Roçadeira</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</si>
  <si>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</si>
  <si>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</si>
  <si>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 xml:space="preserve">Algicida de Manutenção; 1 Litro; para manutenção de água de poço; Prevenir o aparecimento de algas em piscina de Alvenaria, Não contém cobre; não mancha revestimentos;  não deixa o cabelo verde. </t>
  </si>
  <si>
    <t>Medidor de PH</t>
  </si>
  <si>
    <t>Diminuidor de Alcalinidade</t>
  </si>
  <si>
    <t>Redutor de Alcalinidade e pH age reduzindo a Alcalinidade e pH da água quando estão acima da faixa recomendada. 1 litro.</t>
  </si>
  <si>
    <t>KIT TESTE PARA MEDIR PH E CLORO
Kit para analisar diariamente o pH e o residual de cloro na água da piscina. Escala de cores perfeitas que resulta em uma análise rápida, precisa e confiável dos parâmetros de cloro livre e pH.</t>
  </si>
  <si>
    <t>Saco para muda</t>
  </si>
  <si>
    <t>Saco de plástico preto para mudas 10 X 20 Cm com 1.000 unidades (altura considerando a sanfona, altura útil 17cm)
Pacote com 1.000 sacos plásticos para mudas na cor preta na medida de 10cm (largura) x 20cm (altura). Produzido em plástico polietileno (PE) virgem ou recuperado.</t>
  </si>
  <si>
    <t>Camisa social, na cor branca, de mangas  longas, com detalhes na gola e punho, na cor predominante da logomarca da Contrada, Corte: Masculino; Tecido com o mínimo de 50% de fibras naturais, contendo a identificação da Contratada.</t>
  </si>
  <si>
    <t>Camisa social, na cor branca, de mangas  curtas, com detalhes na gola, na cor predominante da logomarca da Contrada, Corte: Masculino; Tecido com o mínimo de 50% de fibras naturais, contendo a identificação da Contratada.</t>
  </si>
  <si>
    <t>Camisa tipo Polo em Tecido Piquet; Corte: Masculino, Composição: 50% algodão e 50% poliéster, com gramatura mínima de 190 g/m², cor branca, com peitilho funcional de fechamento por dois botões. Gola e punhos em ribana - Composição: Elastano: 5%, Poliester: 95%, gramatura mínima de 210 g/m². Mangas com friso na cor predominante da logo da Contratada. Aplicação da marca frontal – logo da Contratada.</t>
  </si>
  <si>
    <t xml:space="preserve"> Roçadeira lateral elétrica 220 volts recomendada para corte de grama e vegetação mais alta, podendo também ser utilizado o fio de nylon para acabamentos em jardins, borda de canteiros, rente a árvores, entre plantas e flores, calçadas, muros e demais obstáculos. Dados Técnicos
Motor com protetor térmico
Potência 1.200 Watts
Rotação 9.000 RPM
Largura do corte: 26cm
Peso 5 Kg
Itens inclusos: 1 carretel de nylon, lamina, protetor, cinto, manual e termo de garantia.</t>
  </si>
  <si>
    <t>Na cor branco gola polo, com logomarca da empresa</t>
  </si>
  <si>
    <t>Crachá de identiﬁcação, em plástico rígido, contendo logomarca da empresa, foto e nome completo do funcionário.</t>
  </si>
  <si>
    <t>Sapato Babuche Fechado Profissional Trabalho Cozinha. Solado com frisos antiderrapantes para maior segurança. Produzido em Eva impermeável e flexível.</t>
  </si>
  <si>
    <t>Manutenção Mensal</t>
  </si>
  <si>
    <t>Depreciação mensal</t>
  </si>
  <si>
    <t>Custo Total dos Equipamentos</t>
  </si>
  <si>
    <t>Custo Total dos Equipamentos (Manutenção + Depreciação)</t>
  </si>
  <si>
    <r>
      <rPr>
        <b/>
        <sz val="11"/>
        <color theme="1"/>
        <rFont val="Calibri"/>
        <family val="2"/>
        <scheme val="minor"/>
      </rPr>
      <t>Manutenção de Equipamentos</t>
    </r>
    <r>
      <rPr>
        <sz val="11"/>
        <color theme="1"/>
        <rFont val="Calibri"/>
        <family val="2"/>
        <scheme val="minor"/>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x 0,5% a.m.;
</t>
    </r>
    <r>
      <rPr>
        <b/>
        <sz val="11"/>
        <color theme="1"/>
        <rFont val="Calibri"/>
        <family val="2"/>
        <scheme val="minor"/>
      </rPr>
      <t>Depreciação de Equipamentos:</t>
    </r>
    <r>
      <rPr>
        <sz val="11"/>
        <color theme="1"/>
        <rFont val="Calibri"/>
        <family val="2"/>
        <scheme val="minor"/>
      </rPr>
      <t xml:space="preserve"> Para o cálculo do insumo Depreciação de Equipamentos, adotou-se vida útil de 8 anos e valor residual de 20%, com base no Manual de Custos Rodoviários do DNIT, volume 1, de 2003.
Depreciação Mensal = [Valor total dos equipamentos x (1,00-0,20)]/(12x8);</t>
    </r>
  </si>
  <si>
    <t>xx/2023</t>
  </si>
  <si>
    <t>xx/02/2022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</si>
</sst>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quot;R$&quot;\ #,##0.00_);[Red]\(&quot;R$&quot;\ #,##0.00\)"/>
    <numFmt numFmtId="165" formatCode="&quot;R$ &quot;#,##0.00"/>
    <numFmt numFmtId="166" formatCode="_-&quot;R$ &quot;* #,##0.00_-;&quot;-R$ &quot;* #,##0.00_-;_-&quot;R$ &quot;* \-??_-;_-@_-"/>
    <numFmt numFmtId="167" formatCode="&quot;R$&quot;#,##0.00_);[Red]\(&quot;R$&quot;#,##0.00\)"/>
    <numFmt numFmtId="168" formatCode="&quot;R$&quot;#,##0.00_);[Red]&quot;(R$&quot;#,##0.00\)"/>
    <numFmt numFmtId="169" formatCode="&quot;R$&quot;#,##0.00"/>
    <numFmt numFmtId="170" formatCode="0.00_ "/>
    <numFmt numFmtId="171" formatCode="0.0000_ "/>
    <numFmt numFmtId="172" formatCode="_-&quot;R$&quot;* #,##0.00_-;\-&quot;R$&quot;* #,##0.00_-;_-&quot;R$&quot;* &quot;-&quot;??_-;_-@_-"/>
    <numFmt numFmtId="173" formatCode="_-[$R$-416]* #,##0.00_-;\-[$R$-416]* #,##0.00_-;_-[$R$-416]* &quot;-&quot;??_-;_-@_-"/>
  </numFmts>
  <fonts count="47">
    <font>
      <sz val="11"/>
      <color rgb="FF000000"/>
      <name val="Calibri"/>
      <charset val="134"/>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sz val="10.5"/>
      <color rgb="FF333333"/>
      <name val="Arial"/>
      <family val="2"/>
    </font>
    <font>
      <b/>
      <i/>
      <sz val="11"/>
      <name val="Calibri"/>
      <family val="2"/>
    </font>
    <font>
      <b/>
      <sz val="11"/>
      <color rgb="FF000000"/>
      <name val="Calibri"/>
      <family val="2"/>
    </font>
    <font>
      <i/>
      <sz val="11"/>
      <color rgb="FF000000"/>
      <name val="Calibri"/>
      <family val="2"/>
    </font>
    <font>
      <sz val="11"/>
      <name val="Calibri"/>
      <family val="2"/>
    </font>
    <font>
      <b/>
      <sz val="14"/>
      <color rgb="FFFFFFFF"/>
      <name val="Calibri"/>
      <family val="2"/>
    </font>
    <font>
      <b/>
      <sz val="11"/>
      <color rgb="FFFFFFFF"/>
      <name val="Calibri"/>
      <family val="2"/>
    </font>
    <font>
      <i/>
      <sz val="8"/>
      <color rgb="FFFF0000"/>
      <name val="Calibri"/>
      <family val="2"/>
    </font>
    <font>
      <sz val="11"/>
      <color theme="0"/>
      <name val="Calibri"/>
      <family val="2"/>
    </font>
    <font>
      <sz val="11"/>
      <color rgb="FFF4B183"/>
      <name val="Calibri"/>
      <family val="2"/>
    </font>
    <font>
      <sz val="11"/>
      <color rgb="FFFFFFFF"/>
      <name val="Calibri"/>
      <family val="2"/>
    </font>
    <font>
      <i/>
      <sz val="11"/>
      <name val="Arial"/>
      <family val="2"/>
    </font>
    <font>
      <sz val="10"/>
      <color rgb="FF000000"/>
      <name val="Calibri"/>
      <family val="2"/>
    </font>
    <font>
      <u/>
      <sz val="11"/>
      <color rgb="FFF4B183"/>
      <name val="Calibri"/>
      <family val="2"/>
    </font>
    <font>
      <sz val="9"/>
      <name val="Tahoma"/>
      <family val="2"/>
    </font>
    <font>
      <sz val="11"/>
      <color rgb="FF000000"/>
      <name val="Calibri"/>
      <family val="2"/>
    </font>
    <font>
      <b/>
      <sz val="15"/>
      <color theme="3"/>
      <name val="Calibri"/>
      <family val="2"/>
      <scheme val="minor"/>
    </font>
    <font>
      <b/>
      <sz val="12"/>
      <name val="Calibri"/>
      <charset val="134"/>
      <scheme val="minor"/>
    </font>
    <font>
      <sz val="11"/>
      <color theme="1"/>
      <name val="Calibri"/>
      <charset val="134"/>
      <scheme val="minor"/>
    </font>
    <font>
      <sz val="11"/>
      <color indexed="8"/>
      <name val="Calibri"/>
      <charset val="134"/>
    </font>
    <font>
      <sz val="12"/>
      <name val="Calibri"/>
      <charset val="134"/>
      <scheme val="minor"/>
    </font>
    <font>
      <b/>
      <sz val="12"/>
      <color theme="0"/>
      <name val="Calibri"/>
      <charset val="134"/>
    </font>
    <font>
      <sz val="12"/>
      <name val="Calibri"/>
      <charset val="134"/>
    </font>
    <font>
      <sz val="12"/>
      <color indexed="8"/>
      <name val="Calibri"/>
      <charset val="134"/>
    </font>
    <font>
      <sz val="11"/>
      <name val="Calibri"/>
      <charset val="134"/>
      <scheme val="minor"/>
    </font>
    <font>
      <b/>
      <sz val="14"/>
      <color theme="1"/>
      <name val="Calibri"/>
      <family val="2"/>
      <scheme val="minor"/>
    </font>
    <font>
      <b/>
      <sz val="9"/>
      <color theme="1"/>
      <name val="Arial"/>
      <family val="2"/>
    </font>
    <font>
      <b/>
      <sz val="10"/>
      <color theme="1"/>
      <name val="Arial"/>
      <family val="2"/>
    </font>
    <font>
      <sz val="9"/>
      <color theme="1"/>
      <name val="Arial"/>
      <family val="2"/>
    </font>
    <font>
      <sz val="12"/>
      <color rgb="FF000000"/>
      <name val="Calibri"/>
      <family val="2"/>
    </font>
    <font>
      <b/>
      <sz val="16"/>
      <color theme="1"/>
      <name val="Calibri"/>
      <family val="2"/>
      <scheme val="minor"/>
    </font>
    <font>
      <sz val="10"/>
      <color theme="1"/>
      <name val="Arial"/>
      <family val="2"/>
    </font>
    <font>
      <b/>
      <sz val="10"/>
      <color theme="0"/>
      <name val="Arial"/>
      <family val="2"/>
    </font>
    <font>
      <b/>
      <u/>
      <sz val="16"/>
      <color theme="1"/>
      <name val="Calibri"/>
      <family val="2"/>
      <scheme val="minor"/>
    </font>
    <font>
      <b/>
      <sz val="14"/>
      <color theme="0"/>
      <name val="Arial"/>
      <family val="2"/>
    </font>
    <font>
      <b/>
      <sz val="11"/>
      <color theme="0"/>
      <name val="Arial"/>
      <family val="2"/>
    </font>
    <font>
      <b/>
      <sz val="11"/>
      <name val="Arial"/>
      <family val="2"/>
    </font>
    <font>
      <b/>
      <sz val="11"/>
      <color rgb="FF000000"/>
      <name val="Arial"/>
      <family val="2"/>
    </font>
    <font>
      <sz val="11"/>
      <name val="Arial"/>
      <family val="2"/>
    </font>
    <font>
      <b/>
      <i/>
      <sz val="11"/>
      <color rgb="FF000000"/>
      <name val="Arial"/>
      <family val="2"/>
    </font>
    <font>
      <sz val="11"/>
      <color rgb="FF000000"/>
      <name val="Arial"/>
      <family val="2"/>
    </font>
  </fonts>
  <fills count="22">
    <fill>
      <patternFill patternType="none"/>
    </fill>
    <fill>
      <patternFill patternType="gray125"/>
    </fill>
    <fill>
      <patternFill patternType="solid">
        <fgColor theme="9"/>
        <bgColor theme="9"/>
      </patternFill>
    </fill>
    <fill>
      <patternFill patternType="solid">
        <fgColor theme="0" tint="-0.499984740745262"/>
        <bgColor indexed="64"/>
      </patternFill>
    </fill>
    <fill>
      <patternFill patternType="solid">
        <fgColor theme="5" tint="0.39997558519241921"/>
        <bgColor indexed="64"/>
      </patternFill>
    </fill>
    <fill>
      <patternFill patternType="solid">
        <fgColor theme="9"/>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theme="5" tint="0.39997558519241921"/>
        <bgColor rgb="FFA9D18E"/>
      </patternFill>
    </fill>
    <fill>
      <patternFill patternType="solid">
        <fgColor theme="5" tint="0.39997558519241921"/>
        <bgColor rgb="FFF2F2F2"/>
      </patternFill>
    </fill>
    <fill>
      <patternFill patternType="solid">
        <fgColor rgb="FFF2F2F2"/>
        <bgColor rgb="FFE2F0D9"/>
      </patternFill>
    </fill>
    <fill>
      <patternFill patternType="solid">
        <fgColor rgb="FF70AD47"/>
        <bgColor indexed="64"/>
      </patternFill>
    </fill>
    <fill>
      <patternFill patternType="solid">
        <fgColor rgb="FFC5E0B4"/>
        <bgColor indexed="64"/>
      </patternFill>
    </fill>
    <fill>
      <patternFill patternType="solid">
        <fgColor rgb="FFF4B183"/>
        <bgColor indexed="64"/>
      </patternFill>
    </fill>
    <fill>
      <patternFill patternType="solid">
        <fgColor rgb="FFE2F0D9"/>
        <bgColor indexed="64"/>
      </patternFill>
    </fill>
    <fill>
      <patternFill patternType="solid">
        <fgColor theme="9" tint="0.79998168889431442"/>
        <bgColor indexed="64"/>
      </patternFill>
    </fill>
    <fill>
      <patternFill patternType="solid">
        <fgColor theme="5"/>
        <bgColor indexed="64"/>
      </patternFill>
    </fill>
  </fills>
  <borders count="39">
    <border>
      <left/>
      <right/>
      <top/>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style="thin">
        <color rgb="FFFFFFFF"/>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bottom style="thick">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style="thin">
        <color rgb="FFFFFFFF"/>
      </top>
      <bottom/>
      <diagonal/>
    </border>
    <border>
      <left style="thin">
        <color rgb="FFFFFFFF"/>
      </left>
      <right/>
      <top/>
      <bottom/>
      <diagonal/>
    </border>
    <border>
      <left style="thin">
        <color auto="1"/>
      </left>
      <right style="thin">
        <color auto="1"/>
      </right>
      <top style="thin">
        <color auto="1"/>
      </top>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style="medium">
        <color auto="1"/>
      </left>
      <right/>
      <top style="medium">
        <color auto="1"/>
      </top>
      <bottom style="thick">
        <color theme="4"/>
      </bottom>
      <diagonal/>
    </border>
    <border>
      <left/>
      <right/>
      <top style="medium">
        <color auto="1"/>
      </top>
      <bottom style="thick">
        <color theme="4"/>
      </bottom>
      <diagonal/>
    </border>
    <border>
      <left/>
      <right style="medium">
        <color auto="1"/>
      </right>
      <top style="medium">
        <color auto="1"/>
      </top>
      <bottom style="thick">
        <color theme="4"/>
      </bottom>
      <diagonal/>
    </border>
    <border>
      <left style="medium">
        <color auto="1"/>
      </left>
      <right/>
      <top/>
      <bottom style="thick">
        <color theme="4"/>
      </bottom>
      <diagonal/>
    </border>
    <border>
      <left/>
      <right/>
      <top style="thick">
        <color theme="4"/>
      </top>
      <bottom style="thick">
        <color theme="4"/>
      </bottom>
      <diagonal/>
    </border>
    <border>
      <left/>
      <right style="medium">
        <color auto="1"/>
      </right>
      <top style="thick">
        <color theme="4"/>
      </top>
      <bottom style="thick">
        <color theme="4"/>
      </bottom>
      <diagonal/>
    </border>
    <border>
      <left style="medium">
        <color auto="1"/>
      </left>
      <right/>
      <top/>
      <bottom/>
      <diagonal/>
    </border>
    <border>
      <left/>
      <right style="medium">
        <color auto="1"/>
      </right>
      <top/>
      <bottom/>
      <diagonal/>
    </border>
    <border>
      <left/>
      <right/>
      <top/>
      <bottom style="thick">
        <color rgb="FFFFFFFF"/>
      </bottom>
      <diagonal/>
    </border>
    <border>
      <left/>
      <right style="medium">
        <color auto="1"/>
      </right>
      <top/>
      <bottom style="thick">
        <color theme="4"/>
      </bottom>
      <diagonal/>
    </border>
    <border>
      <left style="medium">
        <color auto="1"/>
      </left>
      <right/>
      <top style="thick">
        <color theme="4"/>
      </top>
      <bottom/>
      <diagonal/>
    </border>
    <border>
      <left/>
      <right/>
      <top style="thick">
        <color theme="4"/>
      </top>
      <bottom/>
      <diagonal/>
    </border>
    <border>
      <left style="medium">
        <color auto="1"/>
      </left>
      <right/>
      <top style="thick">
        <color theme="4"/>
      </top>
      <bottom style="thick">
        <color theme="4"/>
      </bottom>
      <diagonal/>
    </border>
    <border>
      <left style="medium">
        <color auto="1"/>
      </left>
      <right style="medium">
        <color auto="1"/>
      </right>
      <top style="medium">
        <color auto="1"/>
      </top>
      <bottom style="medium">
        <color auto="1"/>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auto="1"/>
      </left>
      <right style="medium">
        <color auto="1"/>
      </right>
      <top/>
      <bottom style="medium">
        <color auto="1"/>
      </bottom>
      <diagonal/>
    </border>
  </borders>
  <cellStyleXfs count="4">
    <xf numFmtId="0" fontId="0" fillId="0" borderId="0"/>
    <xf numFmtId="9" fontId="21" fillId="0" borderId="0" applyBorder="0" applyProtection="0"/>
    <xf numFmtId="166" fontId="21" fillId="0" borderId="0" applyBorder="0" applyProtection="0"/>
    <xf numFmtId="0" fontId="22" fillId="0" borderId="17" applyNumberFormat="0" applyFill="0" applyAlignment="0" applyProtection="0"/>
  </cellStyleXfs>
  <cellXfs count="279">
    <xf numFmtId="0" fontId="0" fillId="0" borderId="0" xfId="0"/>
    <xf numFmtId="0" fontId="6" fillId="0" borderId="0" xfId="0" applyFont="1"/>
    <xf numFmtId="0" fontId="0" fillId="0" borderId="0" xfId="0" applyFont="1"/>
    <xf numFmtId="0" fontId="0" fillId="0" borderId="0" xfId="0" applyAlignment="1">
      <alignment horizontal="center" vertical="center" wrapText="1"/>
    </xf>
    <xf numFmtId="0" fontId="0" fillId="0" borderId="0" xfId="0" applyAlignment="1">
      <alignment horizontal="center" vertical="center"/>
    </xf>
    <xf numFmtId="0" fontId="8" fillId="10" borderId="0" xfId="0" applyFont="1" applyFill="1" applyBorder="1" applyAlignment="1">
      <alignment horizontal="center" vertical="center" wrapText="1"/>
    </xf>
    <xf numFmtId="49" fontId="0" fillId="10" borderId="0" xfId="0" applyNumberFormat="1" applyFont="1" applyFill="1" applyBorder="1" applyAlignment="1">
      <alignment horizontal="left"/>
    </xf>
    <xf numFmtId="0" fontId="0" fillId="10" borderId="0" xfId="0" applyFont="1" applyFill="1" applyBorder="1" applyAlignment="1">
      <alignment horizontal="left"/>
    </xf>
    <xf numFmtId="0" fontId="8" fillId="0" borderId="0" xfId="0" applyFont="1" applyBorder="1" applyAlignment="1">
      <alignment horizontal="center" vertical="center" wrapText="1"/>
    </xf>
    <xf numFmtId="0" fontId="0" fillId="0" borderId="0" xfId="0" applyFont="1" applyBorder="1" applyAlignment="1">
      <alignment horizontal="left"/>
    </xf>
    <xf numFmtId="0" fontId="0" fillId="9" borderId="4" xfId="0" applyFont="1" applyFill="1" applyBorder="1" applyAlignment="1">
      <alignment horizontal="center" vertical="center"/>
    </xf>
    <xf numFmtId="0" fontId="0" fillId="9" borderId="5" xfId="0" applyFont="1" applyFill="1" applyBorder="1"/>
    <xf numFmtId="0" fontId="0" fillId="12" borderId="6" xfId="0" applyFont="1" applyFill="1" applyBorder="1" applyAlignment="1">
      <alignment horizontal="center" vertical="center"/>
    </xf>
    <xf numFmtId="0" fontId="0" fillId="12" borderId="7" xfId="0" applyFont="1" applyFill="1" applyBorder="1"/>
    <xf numFmtId="0" fontId="0" fillId="11" borderId="7" xfId="0" applyFont="1" applyFill="1" applyBorder="1" applyAlignment="1">
      <alignment horizontal="center"/>
    </xf>
    <xf numFmtId="0" fontId="0" fillId="9" borderId="6" xfId="0" applyFont="1" applyFill="1" applyBorder="1" applyAlignment="1">
      <alignment horizontal="center" vertical="center"/>
    </xf>
    <xf numFmtId="0" fontId="0" fillId="9" borderId="7" xfId="0" applyFont="1" applyFill="1" applyBorder="1"/>
    <xf numFmtId="0" fontId="12" fillId="8" borderId="1" xfId="0" applyFont="1" applyFill="1" applyBorder="1" applyAlignment="1">
      <alignment horizontal="center"/>
    </xf>
    <xf numFmtId="0" fontId="12" fillId="8" borderId="9" xfId="0" applyFont="1" applyFill="1" applyBorder="1" applyAlignment="1">
      <alignment horizontal="center"/>
    </xf>
    <xf numFmtId="0" fontId="0" fillId="11" borderId="10" xfId="0" applyFont="1" applyFill="1" applyBorder="1" applyAlignment="1">
      <alignment horizontal="center"/>
    </xf>
    <xf numFmtId="165" fontId="0" fillId="11" borderId="10" xfId="0" applyNumberFormat="1" applyFont="1" applyFill="1" applyBorder="1" applyAlignment="1">
      <alignment horizontal="center"/>
    </xf>
    <xf numFmtId="0" fontId="0" fillId="0" borderId="0" xfId="0" applyFont="1" applyAlignment="1">
      <alignment horizontal="center" vertical="center"/>
    </xf>
    <xf numFmtId="0" fontId="0" fillId="0" borderId="0" xfId="0" applyFont="1" applyAlignment="1">
      <alignment horizontal="center"/>
    </xf>
    <xf numFmtId="0" fontId="0" fillId="11" borderId="0" xfId="0" applyFill="1" applyAlignment="1">
      <alignment horizontal="center"/>
    </xf>
    <xf numFmtId="165" fontId="0" fillId="11" borderId="0" xfId="0" applyNumberFormat="1" applyFill="1" applyAlignment="1">
      <alignment horizontal="center"/>
    </xf>
    <xf numFmtId="0" fontId="0" fillId="11" borderId="0" xfId="0" applyFont="1" applyFill="1" applyAlignment="1">
      <alignment horizontal="center"/>
    </xf>
    <xf numFmtId="49" fontId="0" fillId="11" borderId="0" xfId="0" applyNumberFormat="1" applyFont="1" applyFill="1" applyAlignment="1">
      <alignment horizontal="center"/>
    </xf>
    <xf numFmtId="10" fontId="0" fillId="0" borderId="0" xfId="0" applyNumberFormat="1"/>
    <xf numFmtId="165" fontId="0" fillId="0" borderId="0" xfId="0" applyNumberFormat="1" applyAlignment="1">
      <alignment horizontal="center"/>
    </xf>
    <xf numFmtId="0" fontId="13" fillId="0" borderId="0" xfId="0" applyFont="1"/>
    <xf numFmtId="0" fontId="8" fillId="0" borderId="0" xfId="0" applyFont="1" applyBorder="1" applyAlignment="1">
      <alignment horizontal="center" vertical="center"/>
    </xf>
    <xf numFmtId="10" fontId="0" fillId="0" borderId="0" xfId="1" applyNumberFormat="1" applyFont="1" applyBorder="1" applyAlignment="1" applyProtection="1">
      <alignment horizontal="center"/>
    </xf>
    <xf numFmtId="0" fontId="0" fillId="0" borderId="0" xfId="0" applyAlignment="1"/>
    <xf numFmtId="0" fontId="8" fillId="9" borderId="5" xfId="0" applyFont="1" applyFill="1" applyBorder="1" applyAlignment="1">
      <alignment horizontal="center" vertical="center"/>
    </xf>
    <xf numFmtId="168" fontId="0" fillId="11" borderId="11" xfId="0" applyNumberFormat="1" applyFont="1" applyFill="1" applyBorder="1" applyAlignment="1">
      <alignment horizontal="center" vertical="center"/>
    </xf>
    <xf numFmtId="0" fontId="8" fillId="12" borderId="11" xfId="0" applyFont="1" applyFill="1" applyBorder="1" applyAlignment="1">
      <alignment horizontal="center" vertical="center"/>
    </xf>
    <xf numFmtId="168" fontId="8" fillId="11" borderId="11" xfId="0" applyNumberFormat="1" applyFont="1" applyFill="1" applyBorder="1" applyAlignment="1">
      <alignment horizontal="center" vertical="center"/>
    </xf>
    <xf numFmtId="10" fontId="0" fillId="0" borderId="0" xfId="0" applyNumberFormat="1" applyAlignment="1">
      <alignment horizontal="center"/>
    </xf>
    <xf numFmtId="10" fontId="0" fillId="11" borderId="0" xfId="1" applyNumberFormat="1" applyFont="1" applyFill="1" applyBorder="1" applyAlignment="1" applyProtection="1">
      <alignment horizontal="center"/>
    </xf>
    <xf numFmtId="165" fontId="0" fillId="11" borderId="0" xfId="0" applyNumberFormat="1" applyFont="1" applyFill="1" applyAlignment="1">
      <alignment horizontal="center"/>
    </xf>
    <xf numFmtId="0" fontId="0" fillId="0" borderId="0" xfId="0" applyFont="1" applyAlignment="1">
      <alignment vertical="center"/>
    </xf>
    <xf numFmtId="165" fontId="0" fillId="11" borderId="0" xfId="0" applyNumberFormat="1" applyFill="1" applyAlignment="1">
      <alignment horizontal="center" vertical="center"/>
    </xf>
    <xf numFmtId="165" fontId="0" fillId="0" borderId="0" xfId="0" applyNumberFormat="1" applyFont="1" applyAlignment="1">
      <alignment horizontal="left" vertical="center"/>
    </xf>
    <xf numFmtId="10" fontId="0" fillId="0" borderId="0" xfId="1" applyNumberFormat="1" applyFont="1" applyBorder="1" applyAlignment="1" applyProtection="1">
      <alignment horizontal="center" vertical="center"/>
    </xf>
    <xf numFmtId="0" fontId="0" fillId="0" borderId="0" xfId="0" applyFont="1" applyAlignment="1">
      <alignment wrapText="1"/>
    </xf>
    <xf numFmtId="10" fontId="0" fillId="11" borderId="0" xfId="1" applyNumberFormat="1" applyFont="1" applyFill="1" applyBorder="1" applyAlignment="1" applyProtection="1">
      <alignment horizontal="center" vertical="center"/>
    </xf>
    <xf numFmtId="170" fontId="0" fillId="11" borderId="0" xfId="0" applyNumberFormat="1" applyFill="1" applyAlignment="1">
      <alignment horizontal="center"/>
    </xf>
    <xf numFmtId="0" fontId="0" fillId="0" borderId="0" xfId="0" applyAlignment="1">
      <alignment vertical="center" wrapText="1"/>
    </xf>
    <xf numFmtId="0" fontId="14" fillId="0" borderId="0" xfId="0" applyFont="1" applyAlignment="1">
      <alignment horizontal="center" vertical="center" wrapText="1"/>
    </xf>
    <xf numFmtId="165" fontId="14" fillId="0" borderId="0" xfId="0" applyNumberFormat="1" applyFont="1" applyAlignment="1">
      <alignment vertical="center"/>
    </xf>
    <xf numFmtId="0" fontId="14" fillId="0" borderId="0" xfId="0" applyFont="1" applyAlignment="1">
      <alignment horizontal="center"/>
    </xf>
    <xf numFmtId="165" fontId="14" fillId="0" borderId="0" xfId="0" applyNumberFormat="1" applyFont="1" applyAlignment="1">
      <alignment horizontal="center"/>
    </xf>
    <xf numFmtId="165" fontId="15" fillId="11" borderId="0" xfId="0" applyNumberFormat="1" applyFont="1" applyFill="1" applyAlignment="1">
      <alignment horizontal="center"/>
    </xf>
    <xf numFmtId="165" fontId="0" fillId="0" borderId="0" xfId="0" applyNumberFormat="1" applyAlignment="1">
      <alignment horizontal="center" vertical="center"/>
    </xf>
    <xf numFmtId="0" fontId="12" fillId="8" borderId="9" xfId="0" applyFont="1" applyFill="1" applyBorder="1" applyAlignment="1">
      <alignment horizontal="center" vertical="center"/>
    </xf>
    <xf numFmtId="0" fontId="12" fillId="8" borderId="9" xfId="0" applyFont="1" applyFill="1" applyBorder="1" applyAlignment="1">
      <alignment horizontal="center" vertical="center" wrapText="1"/>
    </xf>
    <xf numFmtId="165" fontId="10" fillId="11" borderId="0" xfId="0" applyNumberFormat="1" applyFont="1" applyFill="1" applyAlignment="1">
      <alignment horizontal="center"/>
    </xf>
    <xf numFmtId="0" fontId="0" fillId="9" borderId="5" xfId="0" applyFont="1" applyFill="1" applyBorder="1" applyAlignment="1">
      <alignment horizontal="left" vertical="center"/>
    </xf>
    <xf numFmtId="0" fontId="0" fillId="9" borderId="5" xfId="0" applyFont="1" applyFill="1" applyBorder="1" applyAlignment="1">
      <alignment horizontal="center" vertical="center"/>
    </xf>
    <xf numFmtId="167" fontId="0" fillId="13" borderId="5" xfId="0" applyNumberFormat="1" applyFont="1" applyFill="1" applyBorder="1" applyAlignment="1">
      <alignment horizontal="center" vertical="center"/>
    </xf>
    <xf numFmtId="0" fontId="0" fillId="12" borderId="12" xfId="0" applyFont="1" applyFill="1" applyBorder="1" applyAlignment="1">
      <alignment horizontal="left" vertical="center"/>
    </xf>
    <xf numFmtId="0" fontId="0" fillId="12" borderId="12" xfId="0" applyFont="1" applyFill="1" applyBorder="1" applyAlignment="1">
      <alignment horizontal="center" vertical="center"/>
    </xf>
    <xf numFmtId="167" fontId="0" fillId="14" borderId="11" xfId="0" applyNumberFormat="1" applyFont="1" applyFill="1" applyBorder="1" applyAlignment="1">
      <alignment horizontal="center" vertical="center"/>
    </xf>
    <xf numFmtId="165" fontId="10" fillId="0" borderId="0" xfId="0" applyNumberFormat="1" applyFont="1" applyAlignment="1">
      <alignment horizontal="center"/>
    </xf>
    <xf numFmtId="0" fontId="0" fillId="12" borderId="11" xfId="0" applyFont="1" applyFill="1" applyBorder="1" applyAlignment="1">
      <alignment horizontal="left" vertical="center"/>
    </xf>
    <xf numFmtId="168" fontId="0" fillId="11" borderId="0" xfId="0" applyNumberFormat="1" applyFill="1" applyAlignment="1">
      <alignment horizontal="center"/>
    </xf>
    <xf numFmtId="171" fontId="0" fillId="11" borderId="0" xfId="0" applyNumberFormat="1" applyFill="1" applyAlignment="1">
      <alignment horizontal="center" vertical="center"/>
    </xf>
    <xf numFmtId="0" fontId="0" fillId="0" borderId="0" xfId="0" applyAlignment="1">
      <alignment horizontal="center"/>
    </xf>
    <xf numFmtId="0" fontId="0" fillId="0" borderId="0" xfId="0" applyFont="1" applyAlignment="1">
      <alignment horizontal="right"/>
    </xf>
    <xf numFmtId="0" fontId="16" fillId="8" borderId="0" xfId="0" applyFont="1" applyFill="1" applyAlignment="1">
      <alignment horizontal="center" vertical="center"/>
    </xf>
    <xf numFmtId="0" fontId="12" fillId="8" borderId="0" xfId="0" applyFont="1" applyFill="1" applyAlignment="1">
      <alignment horizontal="center" vertical="center"/>
    </xf>
    <xf numFmtId="0" fontId="16" fillId="8" borderId="0" xfId="0" applyFont="1" applyFill="1"/>
    <xf numFmtId="165" fontId="12" fillId="8" borderId="0" xfId="0" applyNumberFormat="1" applyFont="1" applyFill="1" applyAlignment="1">
      <alignment horizontal="center"/>
    </xf>
    <xf numFmtId="168" fontId="0" fillId="11" borderId="0" xfId="0" applyNumberFormat="1" applyFill="1" applyAlignment="1">
      <alignment horizontal="center" vertical="center"/>
    </xf>
    <xf numFmtId="0" fontId="0" fillId="0" borderId="0" xfId="0" applyFont="1" applyAlignment="1">
      <alignment horizontal="justify"/>
    </xf>
    <xf numFmtId="0" fontId="0" fillId="0" borderId="0" xfId="0" applyAlignment="1">
      <alignment horizontal="justify"/>
    </xf>
    <xf numFmtId="0" fontId="0" fillId="0" borderId="0" xfId="0" applyFont="1" applyAlignment="1">
      <alignment horizontal="justify" wrapText="1"/>
    </xf>
    <xf numFmtId="0" fontId="8" fillId="10" borderId="0" xfId="0" applyFont="1" applyFill="1" applyBorder="1" applyAlignment="1">
      <alignment horizontal="justify" vertical="center" wrapText="1"/>
    </xf>
    <xf numFmtId="164" fontId="0" fillId="0" borderId="0" xfId="0" applyNumberFormat="1" applyAlignment="1">
      <alignment horizontal="center" vertical="center"/>
    </xf>
    <xf numFmtId="0" fontId="0" fillId="0" borderId="0" xfId="0" applyAlignment="1">
      <alignment vertical="center"/>
    </xf>
    <xf numFmtId="0" fontId="8" fillId="10" borderId="0" xfId="0" applyFont="1" applyFill="1" applyBorder="1" applyAlignment="1">
      <alignment horizontal="left" vertical="center" wrapText="1"/>
    </xf>
    <xf numFmtId="0" fontId="8" fillId="0" borderId="0" xfId="0" applyFont="1" applyBorder="1" applyAlignment="1">
      <alignment horizontal="left" vertical="center" wrapText="1"/>
    </xf>
    <xf numFmtId="164" fontId="0" fillId="11" borderId="0" xfId="0" applyNumberFormat="1" applyFill="1" applyAlignment="1">
      <alignment horizontal="center" vertical="center"/>
    </xf>
    <xf numFmtId="164" fontId="0" fillId="4" borderId="0" xfId="0" applyNumberFormat="1" applyFill="1" applyAlignment="1">
      <alignment horizontal="center" vertical="center"/>
    </xf>
    <xf numFmtId="165" fontId="14" fillId="0" borderId="0" xfId="0" applyNumberFormat="1" applyFont="1" applyAlignment="1">
      <alignment vertical="center" wrapText="1"/>
    </xf>
    <xf numFmtId="165" fontId="14" fillId="0" borderId="0" xfId="0" applyNumberFormat="1" applyFont="1" applyAlignment="1">
      <alignment horizontal="center" wrapText="1"/>
    </xf>
    <xf numFmtId="168" fontId="0" fillId="11" borderId="0" xfId="0" applyNumberFormat="1" applyFill="1"/>
    <xf numFmtId="0" fontId="16" fillId="8" borderId="0" xfId="0" applyFont="1" applyFill="1" applyAlignment="1">
      <alignment vertical="center"/>
    </xf>
    <xf numFmtId="0" fontId="10" fillId="0" borderId="0" xfId="0" applyFont="1"/>
    <xf numFmtId="0" fontId="10" fillId="0" borderId="0" xfId="0" applyFont="1" applyAlignment="1">
      <alignment wrapText="1"/>
    </xf>
    <xf numFmtId="10" fontId="10" fillId="0" borderId="0" xfId="1" applyNumberFormat="1" applyFont="1" applyBorder="1" applyAlignment="1" applyProtection="1">
      <alignment horizontal="center" vertical="center"/>
    </xf>
    <xf numFmtId="10" fontId="10" fillId="11" borderId="0" xfId="1" applyNumberFormat="1" applyFont="1" applyFill="1" applyBorder="1" applyAlignment="1" applyProtection="1">
      <alignment horizontal="center"/>
    </xf>
    <xf numFmtId="165" fontId="10" fillId="11" borderId="0" xfId="0" applyNumberFormat="1" applyFont="1" applyFill="1" applyAlignment="1">
      <alignment horizontal="center" vertical="center"/>
    </xf>
    <xf numFmtId="10" fontId="10" fillId="11" borderId="0" xfId="1" applyNumberFormat="1" applyFont="1" applyFill="1" applyBorder="1" applyAlignment="1" applyProtection="1">
      <alignment horizontal="center" vertical="center"/>
    </xf>
    <xf numFmtId="170" fontId="10" fillId="11" borderId="0" xfId="0" applyNumberFormat="1" applyFont="1" applyFill="1" applyAlignment="1">
      <alignment horizontal="center"/>
    </xf>
    <xf numFmtId="167" fontId="10" fillId="11" borderId="0" xfId="0" applyNumberFormat="1" applyFont="1" applyFill="1" applyAlignment="1">
      <alignment horizontal="center"/>
    </xf>
    <xf numFmtId="166" fontId="0" fillId="11" borderId="0" xfId="2" applyFont="1" applyFill="1" applyBorder="1" applyAlignment="1" applyProtection="1">
      <alignment horizontal="center"/>
    </xf>
    <xf numFmtId="169" fontId="0" fillId="11" borderId="0" xfId="0" applyNumberFormat="1" applyFill="1" applyAlignment="1">
      <alignment horizontal="center"/>
    </xf>
    <xf numFmtId="9" fontId="0" fillId="11" borderId="0" xfId="0" applyNumberFormat="1" applyFill="1" applyAlignment="1">
      <alignment horizontal="center"/>
    </xf>
    <xf numFmtId="0" fontId="0" fillId="0" borderId="0" xfId="0" applyFont="1" applyAlignment="1"/>
    <xf numFmtId="10" fontId="0" fillId="11" borderId="0" xfId="1" applyNumberFormat="1" applyFont="1" applyFill="1" applyBorder="1" applyAlignment="1" applyProtection="1"/>
    <xf numFmtId="10" fontId="0" fillId="0" borderId="0" xfId="1" applyNumberFormat="1" applyFont="1" applyBorder="1" applyAlignment="1" applyProtection="1"/>
    <xf numFmtId="0" fontId="8"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65" fontId="0" fillId="0" borderId="0" xfId="0" applyNumberFormat="1" applyFont="1" applyAlignment="1">
      <alignment horizontal="center" vertical="center" wrapText="1"/>
    </xf>
    <xf numFmtId="165" fontId="16" fillId="8" borderId="0" xfId="0" applyNumberFormat="1" applyFont="1" applyFill="1" applyAlignment="1">
      <alignment horizontal="center"/>
    </xf>
    <xf numFmtId="0" fontId="0" fillId="11" borderId="7" xfId="0" applyFont="1" applyFill="1" applyBorder="1" applyAlignment="1">
      <alignment horizontal="center"/>
    </xf>
    <xf numFmtId="0" fontId="12" fillId="8" borderId="1" xfId="0" applyFont="1" applyFill="1" applyBorder="1" applyAlignment="1">
      <alignment horizontal="center"/>
    </xf>
    <xf numFmtId="0" fontId="12" fillId="8" borderId="9" xfId="0" applyFont="1" applyFill="1" applyBorder="1" applyAlignment="1">
      <alignment horizontal="center" vertical="center"/>
    </xf>
    <xf numFmtId="49" fontId="0" fillId="10" borderId="0" xfId="0" applyNumberFormat="1" applyFont="1" applyFill="1" applyBorder="1" applyAlignment="1">
      <alignment horizontal="left" vertical="center"/>
    </xf>
    <xf numFmtId="0" fontId="0" fillId="0" borderId="0" xfId="0" applyAlignment="1">
      <alignment wrapText="1"/>
    </xf>
    <xf numFmtId="0" fontId="24" fillId="0" borderId="0" xfId="0" applyFont="1"/>
    <xf numFmtId="0" fontId="23" fillId="7" borderId="21" xfId="3" applyFont="1" applyFill="1" applyBorder="1" applyAlignment="1">
      <alignment horizontal="center" vertical="center" wrapText="1"/>
    </xf>
    <xf numFmtId="0" fontId="23" fillId="7" borderId="17" xfId="3" applyFont="1" applyFill="1" applyAlignment="1">
      <alignment horizontal="center" vertical="center" wrapText="1"/>
    </xf>
    <xf numFmtId="0" fontId="23" fillId="6" borderId="21" xfId="3" applyFont="1" applyFill="1" applyBorder="1" applyAlignment="1">
      <alignment horizontal="center" vertical="center" wrapText="1"/>
    </xf>
    <xf numFmtId="0" fontId="23" fillId="6" borderId="17" xfId="3" applyFont="1" applyFill="1" applyAlignment="1">
      <alignment horizontal="center" vertical="center" wrapText="1"/>
    </xf>
    <xf numFmtId="0" fontId="23" fillId="4" borderId="21" xfId="3" applyFont="1" applyFill="1" applyBorder="1" applyAlignment="1">
      <alignment horizontal="center" vertical="center"/>
    </xf>
    <xf numFmtId="172" fontId="23" fillId="4" borderId="17" xfId="2" applyNumberFormat="1" applyFont="1" applyFill="1" applyBorder="1" applyAlignment="1">
      <alignment horizontal="center" vertical="center"/>
    </xf>
    <xf numFmtId="0" fontId="25" fillId="0" borderId="0" xfId="0" applyFont="1"/>
    <xf numFmtId="0" fontId="26" fillId="0" borderId="24" xfId="0" applyFont="1" applyBorder="1"/>
    <xf numFmtId="0" fontId="26" fillId="0" borderId="0" xfId="0" applyFont="1"/>
    <xf numFmtId="0" fontId="26" fillId="0" borderId="25" xfId="0" applyFont="1" applyBorder="1"/>
    <xf numFmtId="0" fontId="28" fillId="17" borderId="5" xfId="0" applyFont="1" applyFill="1" applyBorder="1" applyAlignment="1">
      <alignment horizontal="left" vertical="center"/>
    </xf>
    <xf numFmtId="10" fontId="28" fillId="18" borderId="0" xfId="0" applyNumberFormat="1" applyFont="1" applyFill="1" applyAlignment="1">
      <alignment horizontal="center" vertical="center"/>
    </xf>
    <xf numFmtId="0" fontId="28" fillId="19" borderId="11" xfId="0" applyFont="1" applyFill="1" applyBorder="1" applyAlignment="1">
      <alignment horizontal="left" vertical="center"/>
    </xf>
    <xf numFmtId="168" fontId="28" fillId="18" borderId="0" xfId="0" applyNumberFormat="1" applyFont="1" applyFill="1" applyAlignment="1">
      <alignment horizontal="center"/>
    </xf>
    <xf numFmtId="172" fontId="23" fillId="0" borderId="27" xfId="3" applyNumberFormat="1" applyFont="1" applyBorder="1" applyAlignment="1">
      <alignment horizontal="center" vertical="center" wrapText="1"/>
    </xf>
    <xf numFmtId="171" fontId="28" fillId="18" borderId="0" xfId="0" applyNumberFormat="1" applyFont="1" applyFill="1" applyAlignment="1">
      <alignment horizontal="center" vertical="center"/>
    </xf>
    <xf numFmtId="0" fontId="23" fillId="6" borderId="0" xfId="0" applyFont="1" applyFill="1" applyAlignment="1">
      <alignment horizontal="center" vertical="center"/>
    </xf>
    <xf numFmtId="0" fontId="23" fillId="6" borderId="25" xfId="0" applyFont="1" applyFill="1" applyBorder="1" applyAlignment="1">
      <alignment horizontal="center" vertical="center"/>
    </xf>
    <xf numFmtId="0" fontId="29" fillId="0" borderId="0" xfId="0" applyFont="1"/>
    <xf numFmtId="10" fontId="26" fillId="4" borderId="0" xfId="1" applyNumberFormat="1" applyFont="1" applyFill="1" applyBorder="1" applyAlignment="1">
      <alignment horizontal="center" vertical="center"/>
    </xf>
    <xf numFmtId="172" fontId="23" fillId="4" borderId="31" xfId="3" applyNumberFormat="1" applyFont="1" applyFill="1" applyBorder="1" applyAlignment="1">
      <alignment horizontal="center" vertical="center" wrapText="1"/>
    </xf>
    <xf numFmtId="0" fontId="23" fillId="20" borderId="0" xfId="0" applyFont="1" applyFill="1" applyAlignment="1">
      <alignment horizontal="center" vertical="center"/>
    </xf>
    <xf numFmtId="0" fontId="23" fillId="20" borderId="25" xfId="0" applyFont="1" applyFill="1" applyBorder="1" applyAlignment="1">
      <alignment horizontal="center" vertical="center"/>
    </xf>
    <xf numFmtId="10" fontId="23" fillId="4" borderId="0" xfId="0" applyNumberFormat="1" applyFont="1" applyFill="1" applyAlignment="1">
      <alignment horizontal="center" vertical="center"/>
    </xf>
    <xf numFmtId="0" fontId="30" fillId="0" borderId="0" xfId="0" applyFont="1"/>
    <xf numFmtId="0" fontId="35" fillId="0" borderId="0" xfId="0" applyFont="1"/>
    <xf numFmtId="0" fontId="18" fillId="0" borderId="0" xfId="0" applyFont="1" applyAlignment="1">
      <alignment horizontal="center" vertical="center"/>
    </xf>
    <xf numFmtId="0" fontId="33" fillId="7" borderId="16" xfId="0" applyFont="1" applyFill="1" applyBorder="1" applyAlignment="1">
      <alignment horizontal="center" vertical="center" wrapText="1"/>
    </xf>
    <xf numFmtId="0" fontId="33" fillId="7" borderId="16" xfId="0" applyFont="1" applyFill="1" applyBorder="1" applyAlignment="1">
      <alignment horizontal="center" vertical="center"/>
    </xf>
    <xf numFmtId="0" fontId="37" fillId="20" borderId="16" xfId="0" applyFont="1" applyFill="1" applyBorder="1" applyAlignment="1">
      <alignment horizontal="center" vertical="center" wrapText="1"/>
    </xf>
    <xf numFmtId="173" fontId="37" fillId="20" borderId="16" xfId="0" applyNumberFormat="1" applyFont="1" applyFill="1" applyBorder="1" applyAlignment="1">
      <alignment horizontal="center" vertical="center"/>
    </xf>
    <xf numFmtId="173" fontId="37" fillId="7" borderId="16" xfId="0" applyNumberFormat="1" applyFont="1" applyFill="1" applyBorder="1" applyAlignment="1">
      <alignment horizontal="center" vertical="center"/>
    </xf>
    <xf numFmtId="173" fontId="33" fillId="7" borderId="16" xfId="0" applyNumberFormat="1" applyFont="1" applyFill="1" applyBorder="1" applyAlignment="1">
      <alignment horizontal="center" vertical="center"/>
    </xf>
    <xf numFmtId="0" fontId="34" fillId="20" borderId="16" xfId="0" applyFont="1" applyFill="1" applyBorder="1" applyAlignment="1">
      <alignment horizontal="center" vertical="center" wrapText="1"/>
    </xf>
    <xf numFmtId="173" fontId="34" fillId="7" borderId="16" xfId="0" applyNumberFormat="1" applyFont="1" applyFill="1" applyBorder="1" applyAlignment="1">
      <alignment horizontal="center" vertical="center"/>
    </xf>
    <xf numFmtId="173" fontId="32" fillId="7" borderId="16" xfId="0" applyNumberFormat="1" applyFont="1" applyFill="1" applyBorder="1" applyAlignment="1">
      <alignment horizontal="center" vertical="center"/>
    </xf>
    <xf numFmtId="173" fontId="32" fillId="20" borderId="16" xfId="0" applyNumberFormat="1" applyFont="1" applyFill="1" applyBorder="1" applyAlignment="1">
      <alignment horizontal="center" vertical="center"/>
    </xf>
    <xf numFmtId="0" fontId="43" fillId="7" borderId="16" xfId="0" applyFont="1" applyFill="1" applyBorder="1" applyAlignment="1">
      <alignment horizontal="center" vertical="center" wrapText="1"/>
    </xf>
    <xf numFmtId="0" fontId="44" fillId="20" borderId="32" xfId="0" applyFont="1" applyFill="1" applyBorder="1" applyAlignment="1">
      <alignment horizontal="center" vertical="center" wrapText="1"/>
    </xf>
    <xf numFmtId="0" fontId="17" fillId="20" borderId="32" xfId="0" applyFont="1" applyFill="1" applyBorder="1" applyAlignment="1">
      <alignment horizontal="center" vertical="center" wrapText="1"/>
    </xf>
    <xf numFmtId="0" fontId="17" fillId="20" borderId="32" xfId="0" applyFont="1" applyFill="1" applyBorder="1" applyAlignment="1">
      <alignment horizontal="justify" wrapText="1"/>
    </xf>
    <xf numFmtId="167" fontId="44" fillId="20" borderId="32" xfId="0" applyNumberFormat="1" applyFont="1" applyFill="1" applyBorder="1" applyAlignment="1">
      <alignment horizontal="center" vertical="center" wrapText="1"/>
    </xf>
    <xf numFmtId="0" fontId="44" fillId="20" borderId="16" xfId="0" applyFont="1" applyFill="1" applyBorder="1" applyAlignment="1">
      <alignment horizontal="center" vertical="center" wrapText="1"/>
    </xf>
    <xf numFmtId="0" fontId="17" fillId="20" borderId="16" xfId="0" applyFont="1" applyFill="1" applyBorder="1" applyAlignment="1">
      <alignment horizontal="center" vertical="center" wrapText="1"/>
    </xf>
    <xf numFmtId="0" fontId="17" fillId="20" borderId="16" xfId="0" applyFont="1" applyFill="1" applyBorder="1" applyAlignment="1">
      <alignment horizontal="justify" wrapText="1"/>
    </xf>
    <xf numFmtId="167" fontId="44" fillId="20" borderId="16" xfId="0" applyNumberFormat="1" applyFont="1" applyFill="1" applyBorder="1" applyAlignment="1">
      <alignment horizontal="center" vertical="center" wrapText="1"/>
    </xf>
    <xf numFmtId="0" fontId="46" fillId="0" borderId="0" xfId="0" applyFont="1"/>
    <xf numFmtId="0" fontId="46" fillId="0" borderId="0" xfId="0" applyFont="1" applyAlignment="1">
      <alignment horizontal="center" vertical="center" wrapText="1"/>
    </xf>
    <xf numFmtId="0" fontId="46" fillId="0" borderId="0" xfId="0" applyFont="1" applyAlignment="1">
      <alignment horizontal="center" vertical="center"/>
    </xf>
    <xf numFmtId="0" fontId="17" fillId="20" borderId="16" xfId="0" applyFont="1" applyFill="1" applyBorder="1" applyAlignment="1">
      <alignment horizontal="justify" vertical="center" wrapText="1"/>
    </xf>
    <xf numFmtId="167" fontId="44" fillId="4" borderId="16" xfId="0" applyNumberFormat="1" applyFont="1" applyFill="1" applyBorder="1" applyAlignment="1">
      <alignment horizontal="center" vertical="center" wrapText="1"/>
    </xf>
    <xf numFmtId="173" fontId="37" fillId="21" borderId="16" xfId="0" applyNumberFormat="1" applyFont="1" applyFill="1" applyBorder="1" applyAlignment="1">
      <alignment horizontal="center" vertical="center" wrapText="1"/>
    </xf>
    <xf numFmtId="173" fontId="34" fillId="21" borderId="16" xfId="0" applyNumberFormat="1" applyFont="1" applyFill="1" applyBorder="1" applyAlignment="1">
      <alignment horizontal="center" vertical="center" wrapText="1"/>
    </xf>
    <xf numFmtId="0" fontId="44" fillId="20" borderId="3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6" xfId="0" applyFont="1" applyFill="1" applyBorder="1" applyAlignment="1">
      <alignment horizontal="center" vertical="center"/>
    </xf>
    <xf numFmtId="0" fontId="5" fillId="0" borderId="16" xfId="0" applyFont="1" applyFill="1" applyBorder="1" applyAlignment="1">
      <alignment horizontal="justify" vertical="center" wrapText="1"/>
    </xf>
    <xf numFmtId="164" fontId="5" fillId="0" borderId="16" xfId="0" applyNumberFormat="1" applyFont="1" applyFill="1" applyBorder="1" applyAlignment="1">
      <alignment horizontal="center" vertical="center"/>
    </xf>
    <xf numFmtId="0" fontId="3" fillId="0" borderId="16" xfId="0" applyFont="1" applyFill="1" applyBorder="1" applyAlignment="1">
      <alignment horizontal="justify" vertical="center" wrapText="1"/>
    </xf>
    <xf numFmtId="165" fontId="5" fillId="0" borderId="16" xfId="0" applyNumberFormat="1" applyFont="1" applyFill="1" applyBorder="1" applyAlignment="1">
      <alignment horizontal="center" vertical="center"/>
    </xf>
    <xf numFmtId="0" fontId="3" fillId="0" borderId="16" xfId="0" applyFont="1" applyFill="1" applyBorder="1" applyAlignment="1">
      <alignment horizontal="center" vertical="center" wrapText="1"/>
    </xf>
    <xf numFmtId="0" fontId="3" fillId="0" borderId="16" xfId="0" applyFont="1" applyFill="1" applyBorder="1" applyAlignment="1">
      <alignment vertical="center"/>
    </xf>
    <xf numFmtId="164" fontId="3" fillId="0" borderId="16" xfId="0" applyNumberFormat="1" applyFont="1" applyFill="1" applyBorder="1" applyAlignment="1">
      <alignment horizontal="center" vertical="center"/>
    </xf>
    <xf numFmtId="0" fontId="8" fillId="15" borderId="0" xfId="0" applyFont="1" applyFill="1" applyBorder="1" applyAlignment="1">
      <alignment horizontal="left" vertical="center" wrapText="1"/>
    </xf>
    <xf numFmtId="0" fontId="9" fillId="15" borderId="0" xfId="0" applyFont="1" applyFill="1" applyBorder="1" applyAlignment="1">
      <alignment horizontal="center"/>
    </xf>
    <xf numFmtId="0" fontId="0" fillId="15" borderId="0" xfId="0" applyFont="1" applyFill="1" applyBorder="1" applyAlignment="1">
      <alignment horizontal="center"/>
    </xf>
    <xf numFmtId="0" fontId="0" fillId="15" borderId="0" xfId="0" applyFont="1" applyFill="1" applyBorder="1" applyAlignment="1">
      <alignment horizontal="left" wrapText="1"/>
    </xf>
    <xf numFmtId="0" fontId="0" fillId="15" borderId="0" xfId="0" applyFont="1" applyFill="1" applyBorder="1" applyAlignment="1">
      <alignment horizontal="left" vertical="center" wrapText="1"/>
    </xf>
    <xf numFmtId="0" fontId="8" fillId="15" borderId="15" xfId="0" applyFont="1" applyFill="1" applyBorder="1" applyAlignment="1">
      <alignment horizontal="center"/>
    </xf>
    <xf numFmtId="0" fontId="12" fillId="8" borderId="3" xfId="0" applyFont="1" applyFill="1" applyBorder="1" applyAlignment="1">
      <alignment horizontal="center"/>
    </xf>
    <xf numFmtId="0" fontId="8" fillId="0" borderId="0" xfId="0" applyFont="1" applyBorder="1" applyAlignment="1">
      <alignment horizontal="center" vertical="center"/>
    </xf>
    <xf numFmtId="0" fontId="12" fillId="8" borderId="0" xfId="0" applyFont="1" applyFill="1" applyBorder="1" applyAlignment="1">
      <alignment horizontal="center" wrapText="1"/>
    </xf>
    <xf numFmtId="0" fontId="8" fillId="0" borderId="0" xfId="0" applyFont="1" applyBorder="1" applyAlignment="1">
      <alignment horizontal="center"/>
    </xf>
    <xf numFmtId="0" fontId="12" fillId="8" borderId="0" xfId="0" applyFont="1" applyFill="1" applyBorder="1" applyAlignment="1">
      <alignment horizontal="center"/>
    </xf>
    <xf numFmtId="0" fontId="8" fillId="0" borderId="14" xfId="0" applyFont="1" applyBorder="1" applyAlignment="1">
      <alignment horizontal="center"/>
    </xf>
    <xf numFmtId="0" fontId="4" fillId="2" borderId="16" xfId="0" applyFont="1" applyFill="1" applyBorder="1" applyAlignment="1">
      <alignment horizontal="center" vertical="center" wrapText="1"/>
    </xf>
    <xf numFmtId="0" fontId="12" fillId="8" borderId="3" xfId="0" applyFont="1" applyFill="1" applyBorder="1" applyAlignment="1">
      <alignment horizontal="center" vertical="center"/>
    </xf>
    <xf numFmtId="0" fontId="12" fillId="8" borderId="9" xfId="0" applyFont="1" applyFill="1" applyBorder="1" applyAlignment="1">
      <alignment horizontal="center" vertical="center"/>
    </xf>
    <xf numFmtId="0" fontId="12" fillId="8" borderId="0" xfId="0" applyFont="1" applyFill="1" applyBorder="1" applyAlignment="1">
      <alignment horizontal="center" vertical="center"/>
    </xf>
    <xf numFmtId="0" fontId="0" fillId="0" borderId="0" xfId="0" applyAlignment="1">
      <alignment horizontal="justify" wrapText="1"/>
    </xf>
    <xf numFmtId="0" fontId="7" fillId="9" borderId="13" xfId="0" applyFont="1" applyFill="1" applyBorder="1" applyAlignment="1">
      <alignment horizontal="center" vertical="center"/>
    </xf>
    <xf numFmtId="0" fontId="7" fillId="9" borderId="0" xfId="0" applyFont="1" applyFill="1" applyAlignment="1">
      <alignment horizontal="center" vertical="center"/>
    </xf>
    <xf numFmtId="167" fontId="7" fillId="9" borderId="13" xfId="0" applyNumberFormat="1" applyFont="1" applyFill="1" applyBorder="1" applyAlignment="1">
      <alignment horizontal="center" vertical="center"/>
    </xf>
    <xf numFmtId="167" fontId="7" fillId="9" borderId="0" xfId="0" applyNumberFormat="1" applyFont="1" applyFill="1" applyAlignment="1">
      <alignment horizontal="center" vertical="center"/>
    </xf>
    <xf numFmtId="0" fontId="12" fillId="8" borderId="0" xfId="0" applyFont="1" applyFill="1" applyBorder="1" applyAlignment="1">
      <alignment horizontal="center" vertical="center" wrapText="1"/>
    </xf>
    <xf numFmtId="0" fontId="0" fillId="12" borderId="7" xfId="0" applyFont="1" applyFill="1" applyBorder="1" applyAlignment="1">
      <alignment horizontal="center" vertical="center"/>
    </xf>
    <xf numFmtId="0" fontId="0" fillId="12" borderId="7" xfId="0" applyFont="1" applyFill="1" applyBorder="1" applyAlignment="1">
      <alignment horizontal="center"/>
    </xf>
    <xf numFmtId="0" fontId="12" fillId="8" borderId="1" xfId="0" applyFont="1" applyFill="1" applyBorder="1" applyAlignment="1">
      <alignment horizontal="center" vertical="center"/>
    </xf>
    <xf numFmtId="0" fontId="12" fillId="8" borderId="1" xfId="0" applyFont="1" applyFill="1" applyBorder="1" applyAlignment="1">
      <alignment horizontal="center"/>
    </xf>
    <xf numFmtId="0" fontId="0" fillId="11" borderId="7" xfId="0" applyFont="1" applyFill="1" applyBorder="1" applyAlignment="1">
      <alignment horizontal="center"/>
    </xf>
    <xf numFmtId="0" fontId="12" fillId="8" borderId="8" xfId="0" applyFont="1" applyFill="1" applyBorder="1" applyAlignment="1">
      <alignment horizontal="center" vertical="center" wrapText="1"/>
    </xf>
    <xf numFmtId="0" fontId="12" fillId="8" borderId="8" xfId="0" applyFont="1" applyFill="1" applyBorder="1" applyAlignment="1">
      <alignment horizontal="center" wrapText="1"/>
    </xf>
    <xf numFmtId="0" fontId="0" fillId="9" borderId="7" xfId="0" applyFont="1" applyFill="1" applyBorder="1" applyAlignment="1">
      <alignment horizontal="center" vertical="center"/>
    </xf>
    <xf numFmtId="0" fontId="0" fillId="9" borderId="7" xfId="0" applyFont="1" applyFill="1" applyBorder="1" applyAlignment="1">
      <alignment horizontal="center"/>
    </xf>
    <xf numFmtId="0" fontId="11" fillId="8" borderId="1" xfId="0" applyFont="1" applyFill="1" applyBorder="1" applyAlignment="1">
      <alignment horizontal="center" vertical="center"/>
    </xf>
    <xf numFmtId="0" fontId="11" fillId="8" borderId="1" xfId="0" applyFont="1" applyFill="1" applyBorder="1" applyAlignment="1">
      <alignment horizontal="center"/>
    </xf>
    <xf numFmtId="0" fontId="8" fillId="9" borderId="2" xfId="0" applyFont="1" applyFill="1" applyBorder="1" applyAlignment="1">
      <alignment horizontal="left" vertical="center" wrapText="1"/>
    </xf>
    <xf numFmtId="0" fontId="8" fillId="9" borderId="2" xfId="0" applyFont="1" applyFill="1" applyBorder="1" applyAlignment="1">
      <alignment horizontal="left" wrapText="1"/>
    </xf>
    <xf numFmtId="14" fontId="0" fillId="11" borderId="5" xfId="0" applyNumberFormat="1" applyFont="1" applyFill="1" applyBorder="1" applyAlignment="1">
      <alignment horizontal="center"/>
    </xf>
    <xf numFmtId="0" fontId="0" fillId="11" borderId="5" xfId="0" applyFont="1" applyFill="1" applyBorder="1" applyAlignment="1">
      <alignment horizontal="center"/>
    </xf>
    <xf numFmtId="0" fontId="8" fillId="9" borderId="2" xfId="0" applyFont="1" applyFill="1" applyBorder="1" applyAlignment="1">
      <alignment horizontal="justify" vertical="center" wrapText="1"/>
    </xf>
    <xf numFmtId="0" fontId="8" fillId="9" borderId="2" xfId="0" applyFont="1" applyFill="1" applyBorder="1" applyAlignment="1">
      <alignment horizontal="justify" wrapText="1"/>
    </xf>
    <xf numFmtId="0" fontId="45" fillId="3" borderId="16" xfId="0" applyFont="1" applyFill="1" applyBorder="1" applyAlignment="1">
      <alignment horizontal="center"/>
    </xf>
    <xf numFmtId="167" fontId="45" fillId="3" borderId="16" xfId="0" applyNumberFormat="1" applyFont="1" applyFill="1" applyBorder="1" applyAlignment="1">
      <alignment horizontal="center"/>
    </xf>
    <xf numFmtId="0" fontId="42" fillId="6" borderId="16" xfId="0" applyFont="1" applyFill="1" applyBorder="1" applyAlignment="1">
      <alignment horizontal="center"/>
    </xf>
    <xf numFmtId="0" fontId="42" fillId="6" borderId="16" xfId="0" applyFont="1" applyFill="1" applyBorder="1" applyAlignment="1">
      <alignment horizontal="center" vertical="center" wrapText="1"/>
    </xf>
    <xf numFmtId="0" fontId="42" fillId="6" borderId="16" xfId="0" applyFont="1" applyFill="1" applyBorder="1" applyAlignment="1">
      <alignment horizontal="center" vertical="center"/>
    </xf>
    <xf numFmtId="0" fontId="41" fillId="5" borderId="16" xfId="0" applyFont="1" applyFill="1" applyBorder="1" applyAlignment="1">
      <alignment horizontal="center"/>
    </xf>
    <xf numFmtId="0" fontId="41" fillId="5" borderId="16" xfId="0" applyFont="1" applyFill="1" applyBorder="1" applyAlignment="1">
      <alignment horizontal="center" vertical="center" wrapText="1"/>
    </xf>
    <xf numFmtId="0" fontId="41" fillId="5" borderId="16" xfId="0" applyFont="1" applyFill="1" applyBorder="1" applyAlignment="1">
      <alignment horizontal="center" vertical="center"/>
    </xf>
    <xf numFmtId="0" fontId="45" fillId="3" borderId="0" xfId="0" applyFont="1" applyFill="1" applyAlignment="1">
      <alignment horizontal="center"/>
    </xf>
    <xf numFmtId="167" fontId="45" fillId="3" borderId="0" xfId="0" applyNumberFormat="1" applyFont="1" applyFill="1" applyAlignment="1">
      <alignment horizontal="center"/>
    </xf>
    <xf numFmtId="0" fontId="41" fillId="5" borderId="0" xfId="0" applyFont="1" applyFill="1" applyBorder="1" applyAlignment="1">
      <alignment horizontal="center"/>
    </xf>
    <xf numFmtId="0" fontId="41" fillId="5" borderId="0" xfId="0" applyFont="1" applyFill="1" applyBorder="1" applyAlignment="1">
      <alignment horizontal="center" vertical="center" wrapText="1"/>
    </xf>
    <xf numFmtId="0" fontId="41" fillId="5" borderId="0" xfId="0" applyFont="1" applyFill="1" applyBorder="1" applyAlignment="1">
      <alignment horizontal="center" vertical="center"/>
    </xf>
    <xf numFmtId="167" fontId="0" fillId="0" borderId="33" xfId="0" applyNumberFormat="1" applyBorder="1" applyAlignment="1">
      <alignment horizontal="center"/>
    </xf>
    <xf numFmtId="0" fontId="0" fillId="0" borderId="34" xfId="0" applyBorder="1" applyAlignment="1">
      <alignment horizontal="center"/>
    </xf>
    <xf numFmtId="0" fontId="33" fillId="7" borderId="16" xfId="0" applyFont="1" applyFill="1" applyBorder="1" applyAlignment="1">
      <alignment horizontal="center" vertical="center" wrapText="1"/>
    </xf>
    <xf numFmtId="0" fontId="38" fillId="5" borderId="14" xfId="0" applyFont="1" applyFill="1" applyBorder="1" applyAlignment="1">
      <alignment horizontal="center" vertical="center" wrapText="1"/>
    </xf>
    <xf numFmtId="0" fontId="37" fillId="7" borderId="16" xfId="0" applyFont="1" applyFill="1" applyBorder="1" applyAlignment="1">
      <alignment horizontal="center" vertical="center" wrapText="1"/>
    </xf>
    <xf numFmtId="0" fontId="39" fillId="5" borderId="0" xfId="0" applyFont="1" applyFill="1" applyAlignment="1">
      <alignment horizontal="center"/>
    </xf>
    <xf numFmtId="0" fontId="4" fillId="0" borderId="0" xfId="0" applyFont="1" applyAlignment="1">
      <alignment horizontal="justify" wrapText="1"/>
    </xf>
    <xf numFmtId="0" fontId="2" fillId="0" borderId="0" xfId="0" applyFont="1" applyAlignment="1">
      <alignment horizontal="justify" wrapText="1"/>
    </xf>
    <xf numFmtId="0" fontId="32" fillId="7" borderId="16" xfId="0" applyFont="1" applyFill="1" applyBorder="1" applyAlignment="1">
      <alignment horizontal="center" vertical="center" wrapText="1"/>
    </xf>
    <xf numFmtId="0" fontId="36" fillId="5" borderId="0" xfId="0" applyFont="1" applyFill="1" applyAlignment="1">
      <alignment horizontal="center" vertical="center"/>
    </xf>
    <xf numFmtId="0" fontId="40" fillId="5" borderId="14" xfId="0" applyFont="1" applyFill="1" applyBorder="1" applyAlignment="1">
      <alignment horizontal="center" vertical="center" wrapText="1"/>
    </xf>
    <xf numFmtId="0" fontId="31" fillId="5" borderId="0" xfId="0" applyFont="1" applyFill="1" applyAlignment="1">
      <alignment horizontal="center" vertical="center"/>
    </xf>
    <xf numFmtId="0" fontId="33" fillId="7" borderId="36" xfId="0" applyFont="1" applyFill="1" applyBorder="1" applyAlignment="1">
      <alignment horizontal="center" vertical="center" wrapText="1"/>
    </xf>
    <xf numFmtId="0" fontId="33" fillId="7" borderId="37" xfId="0" applyFont="1" applyFill="1" applyBorder="1" applyAlignment="1">
      <alignment horizontal="center" vertical="center" wrapText="1"/>
    </xf>
    <xf numFmtId="0" fontId="33" fillId="7" borderId="35" xfId="0" applyFont="1" applyFill="1" applyBorder="1" applyAlignment="1">
      <alignment horizontal="center" vertical="center" wrapText="1"/>
    </xf>
    <xf numFmtId="0" fontId="24" fillId="0" borderId="0" xfId="0" applyFont="1" applyAlignment="1">
      <alignment vertical="center" wrapText="1"/>
    </xf>
    <xf numFmtId="0" fontId="23" fillId="20" borderId="28" xfId="0" applyFont="1" applyFill="1" applyBorder="1" applyAlignment="1">
      <alignment horizontal="center" vertical="center"/>
    </xf>
    <xf numFmtId="0" fontId="23" fillId="20" borderId="29" xfId="0" applyFont="1" applyFill="1" applyBorder="1" applyAlignment="1">
      <alignment horizontal="center" vertical="center"/>
    </xf>
    <xf numFmtId="0" fontId="26" fillId="6" borderId="24" xfId="0" applyFont="1" applyFill="1" applyBorder="1" applyAlignment="1">
      <alignment horizontal="left" vertical="top"/>
    </xf>
    <xf numFmtId="0" fontId="26" fillId="6" borderId="0" xfId="0" applyFont="1" applyFill="1" applyAlignment="1">
      <alignment horizontal="left" vertical="top"/>
    </xf>
    <xf numFmtId="0" fontId="26" fillId="20" borderId="24" xfId="0" applyFont="1" applyFill="1" applyBorder="1" applyAlignment="1">
      <alignment horizontal="left" vertical="top"/>
    </xf>
    <xf numFmtId="0" fontId="26" fillId="20" borderId="0" xfId="0" applyFont="1" applyFill="1" applyAlignment="1">
      <alignment horizontal="left" vertical="top"/>
    </xf>
    <xf numFmtId="0" fontId="23" fillId="20" borderId="24" xfId="0" applyFont="1" applyFill="1" applyBorder="1" applyAlignment="1">
      <alignment horizontal="center"/>
    </xf>
    <xf numFmtId="0" fontId="23" fillId="20" borderId="0" xfId="0" applyFont="1" applyFill="1" applyAlignment="1">
      <alignment horizontal="center"/>
    </xf>
    <xf numFmtId="0" fontId="23" fillId="5" borderId="30" xfId="3" applyFont="1" applyFill="1" applyBorder="1" applyAlignment="1">
      <alignment horizontal="center" vertical="center" wrapText="1"/>
    </xf>
    <xf numFmtId="0" fontId="23" fillId="5" borderId="22" xfId="3" applyFont="1" applyFill="1" applyBorder="1" applyAlignment="1">
      <alignment horizontal="center" vertical="center" wrapText="1"/>
    </xf>
    <xf numFmtId="0" fontId="23" fillId="5" borderId="23" xfId="3" applyFont="1" applyFill="1" applyBorder="1" applyAlignment="1">
      <alignment horizontal="center" vertical="center" wrapText="1"/>
    </xf>
    <xf numFmtId="0" fontId="27" fillId="16" borderId="9" xfId="0" applyFont="1" applyFill="1" applyBorder="1" applyAlignment="1">
      <alignment horizontal="center" vertical="center"/>
    </xf>
    <xf numFmtId="0" fontId="27" fillId="16" borderId="26" xfId="0" applyFont="1" applyFill="1" applyBorder="1" applyAlignment="1">
      <alignment horizontal="center" vertical="center"/>
    </xf>
    <xf numFmtId="0" fontId="23" fillId="5" borderId="18" xfId="3" applyFont="1" applyFill="1" applyBorder="1" applyAlignment="1">
      <alignment horizontal="center"/>
    </xf>
    <xf numFmtId="0" fontId="23" fillId="5" borderId="19" xfId="3" applyFont="1" applyFill="1" applyBorder="1" applyAlignment="1">
      <alignment horizontal="center"/>
    </xf>
    <xf numFmtId="0" fontId="23" fillId="5" borderId="20" xfId="3" applyFont="1" applyFill="1" applyBorder="1" applyAlignment="1">
      <alignment horizontal="center"/>
    </xf>
    <xf numFmtId="0" fontId="23" fillId="6" borderId="30" xfId="3" applyFont="1" applyFill="1" applyBorder="1" applyAlignment="1">
      <alignment horizontal="center" vertical="center" wrapText="1"/>
    </xf>
    <xf numFmtId="0" fontId="23" fillId="6" borderId="22" xfId="3" applyFont="1" applyFill="1" applyBorder="1" applyAlignment="1">
      <alignment horizontal="center" vertical="center" wrapText="1"/>
    </xf>
    <xf numFmtId="0" fontId="23" fillId="6" borderId="23" xfId="3" applyFont="1" applyFill="1" applyBorder="1" applyAlignment="1">
      <alignment horizontal="center" vertical="center" wrapText="1"/>
    </xf>
    <xf numFmtId="0" fontId="23" fillId="7" borderId="22" xfId="3" applyFont="1" applyFill="1" applyBorder="1" applyAlignment="1">
      <alignment horizontal="center" vertical="center" wrapText="1"/>
    </xf>
    <xf numFmtId="0" fontId="23" fillId="7" borderId="23" xfId="3" applyFont="1" applyFill="1" applyBorder="1" applyAlignment="1">
      <alignment horizontal="center" vertical="center" wrapText="1"/>
    </xf>
    <xf numFmtId="0" fontId="23" fillId="6" borderId="22" xfId="3" applyFont="1" applyFill="1" applyBorder="1" applyAlignment="1">
      <alignment horizontal="center" vertical="center"/>
    </xf>
    <xf numFmtId="0" fontId="23" fillId="6" borderId="23" xfId="3" applyFont="1" applyFill="1" applyBorder="1" applyAlignment="1">
      <alignment horizontal="center" vertical="center"/>
    </xf>
    <xf numFmtId="172" fontId="23" fillId="4" borderId="22" xfId="2" applyNumberFormat="1" applyFont="1" applyFill="1" applyBorder="1" applyAlignment="1">
      <alignment horizontal="center" vertical="center"/>
    </xf>
    <xf numFmtId="172" fontId="23" fillId="4" borderId="23" xfId="2" applyNumberFormat="1" applyFont="1" applyFill="1" applyBorder="1" applyAlignment="1">
      <alignment horizontal="center" vertical="center"/>
    </xf>
    <xf numFmtId="0" fontId="23" fillId="7" borderId="17" xfId="3" applyFont="1" applyFill="1" applyAlignment="1">
      <alignment horizontal="center" vertical="center" wrapText="1"/>
    </xf>
    <xf numFmtId="0" fontId="23" fillId="6" borderId="28" xfId="0" applyFont="1" applyFill="1" applyBorder="1" applyAlignment="1">
      <alignment horizontal="center" vertical="center"/>
    </xf>
    <xf numFmtId="0" fontId="23" fillId="6" borderId="29" xfId="0" applyFont="1" applyFill="1" applyBorder="1" applyAlignment="1">
      <alignment horizontal="center" vertical="center"/>
    </xf>
    <xf numFmtId="0" fontId="23" fillId="7" borderId="30" xfId="3" applyFont="1" applyFill="1" applyBorder="1" applyAlignment="1">
      <alignment horizontal="center" vertical="center" wrapText="1"/>
    </xf>
    <xf numFmtId="172" fontId="23" fillId="4" borderId="38" xfId="3" applyNumberFormat="1" applyFont="1" applyFill="1" applyBorder="1" applyAlignment="1">
      <alignment horizontal="center" vertical="center" wrapText="1"/>
    </xf>
    <xf numFmtId="172" fontId="23" fillId="5" borderId="38" xfId="3" applyNumberFormat="1" applyFont="1" applyFill="1" applyBorder="1" applyAlignment="1">
      <alignment horizontal="center" vertical="center" wrapText="1"/>
    </xf>
    <xf numFmtId="172" fontId="26" fillId="4" borderId="16" xfId="2" applyNumberFormat="1" applyFont="1" applyFill="1" applyBorder="1" applyAlignment="1">
      <alignment horizontal="center" vertical="center"/>
    </xf>
    <xf numFmtId="172" fontId="26" fillId="4" borderId="16" xfId="2" applyNumberFormat="1" applyFont="1" applyFill="1" applyBorder="1"/>
    <xf numFmtId="172" fontId="23" fillId="4" borderId="16" xfId="0" applyNumberFormat="1" applyFont="1" applyFill="1" applyBorder="1" applyAlignment="1">
      <alignment horizontal="center" vertical="center"/>
    </xf>
  </cellXfs>
  <cellStyles count="4">
    <cellStyle name="Moeda" xfId="2" builtinId="4"/>
    <cellStyle name="Normal" xfId="0" builtinId="0"/>
    <cellStyle name="Porcentagem" xfId="1" builtinId="5"/>
    <cellStyle name="Título 1" xfId="3" builtinId="16"/>
  </cellStyles>
  <dxfs count="603">
    <dxf>
      <font>
        <strike val="0"/>
        <outline val="0"/>
        <shadow val="0"/>
        <u val="none"/>
        <vertAlign val="baseline"/>
        <sz val="11"/>
        <name val="Arial"/>
        <family val="2"/>
        <scheme val="none"/>
      </font>
      <fill>
        <patternFill patternType="solid">
          <bgColor theme="5" tint="0.39997558519241921"/>
        </patternFill>
      </fill>
      <alignment wrapText="1"/>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name val="Arial"/>
        <family val="2"/>
        <scheme val="none"/>
      </font>
      <fill>
        <patternFill patternType="solid">
          <fgColor indexed="64"/>
          <bgColor theme="9" tint="0.79998168889431442"/>
        </patternFill>
      </fill>
      <alignment wrapText="1"/>
      <border diagonalUp="0" diagonalDown="0" outline="0">
        <left style="thin">
          <color indexed="64"/>
        </left>
        <right/>
        <top style="thin">
          <color indexed="64"/>
        </top>
        <bottom style="thin">
          <color indexed="64"/>
        </bottom>
      </border>
    </dxf>
    <dxf>
      <font>
        <strike val="0"/>
        <outline val="0"/>
        <shadow val="0"/>
        <u val="none"/>
        <vertAlign val="baseline"/>
        <sz val="11"/>
        <name val="Arial"/>
        <family val="2"/>
        <scheme val="none"/>
      </font>
      <fill>
        <patternFill patternType="solid">
          <fgColor indexed="64"/>
          <bgColor theme="9" tint="0.79998168889431442"/>
        </patternFill>
      </fill>
      <alignment wrapText="1"/>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solid">
          <fgColor indexed="64"/>
          <bgColor theme="9" tint="0.79998168889431442"/>
        </patternFill>
      </fill>
      <alignment wrapText="1"/>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solid">
          <bgColor theme="5" tint="0.39997558519241921"/>
        </patternFill>
      </fill>
      <alignment wrapText="1"/>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solid">
          <fgColor indexed="64"/>
          <bgColor theme="9" tint="0.79998168889431442"/>
        </patternFill>
      </fill>
      <alignment wrapText="1"/>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solid">
          <fgColor indexed="64"/>
          <bgColor theme="9" tint="0.79998168889431442"/>
        </patternFill>
      </fill>
      <alignment wrapText="1"/>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solid">
          <fgColor indexed="64"/>
          <bgColor theme="9" tint="0.79998168889431442"/>
        </patternFill>
      </fill>
      <alignment wrapText="1"/>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solid">
          <fgColor indexed="64"/>
          <bgColor theme="9" tint="0.79998168889431442"/>
        </patternFill>
      </fill>
      <alignment wrapText="1"/>
      <border diagonalUp="0" diagonalDown="0" outline="0">
        <left/>
        <right style="thin">
          <color indexed="64"/>
        </right>
        <top style="thin">
          <color indexed="64"/>
        </top>
        <bottom style="thin">
          <color indexed="64"/>
        </bottom>
      </border>
    </dxf>
    <dxf>
      <font>
        <strike val="0"/>
        <outline val="0"/>
        <shadow val="0"/>
        <u val="none"/>
        <vertAlign val="baseline"/>
        <sz val="11"/>
        <name val="Arial"/>
        <family val="2"/>
        <scheme val="none"/>
      </font>
      <border diagonalUp="0" diagonalDown="0" outline="0">
        <left style="thin">
          <color indexed="64"/>
        </left>
        <right style="thin">
          <color indexed="64"/>
        </right>
        <top/>
        <bottom/>
      </border>
    </dxf>
    <dxf>
      <font>
        <strike val="0"/>
        <outline val="0"/>
        <shadow val="0"/>
        <u val="none"/>
        <vertAlign val="baseline"/>
        <sz val="11"/>
        <name val="Arial"/>
        <family val="2"/>
        <scheme val="none"/>
      </font>
    </dxf>
    <dxf>
      <font>
        <strike val="0"/>
        <outline val="0"/>
        <shadow val="0"/>
        <u val="none"/>
        <vertAlign val="baseline"/>
        <sz val="11"/>
        <name val="Arial"/>
        <family val="2"/>
        <scheme val="none"/>
      </font>
      <border diagonalUp="0" diagonalDown="0" outline="0">
        <left style="thin">
          <color indexed="64"/>
        </left>
        <right style="thin">
          <color indexed="64"/>
        </right>
        <top/>
        <bottom/>
      </border>
    </dxf>
    <dxf>
      <font>
        <strike val="0"/>
        <outline val="0"/>
        <shadow val="0"/>
        <u val="none"/>
        <vertAlign val="baseline"/>
        <sz val="11"/>
        <name val="Arial"/>
        <family val="2"/>
        <scheme val="none"/>
      </font>
      <fill>
        <patternFill patternType="solid">
          <fgColor indexed="64"/>
          <bgColor theme="9" tint="0.79998168889431442"/>
        </patternFill>
      </fill>
      <alignment wrapText="1"/>
      <border diagonalUp="0" diagonalDown="0" outline="0">
        <left style="thin">
          <color indexed="64"/>
        </left>
        <right/>
        <top style="thin">
          <color indexed="64"/>
        </top>
        <bottom style="thin">
          <color indexed="64"/>
        </bottom>
      </border>
    </dxf>
    <dxf>
      <font>
        <strike val="0"/>
        <outline val="0"/>
        <shadow val="0"/>
        <u val="none"/>
        <vertAlign val="baseline"/>
        <sz val="11"/>
        <name val="Arial"/>
        <family val="2"/>
        <scheme val="none"/>
      </font>
      <fill>
        <patternFill patternType="solid">
          <fgColor indexed="64"/>
          <bgColor theme="9" tint="0.79998168889431442"/>
        </patternFill>
      </fill>
      <alignment wrapText="1"/>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solid">
          <fgColor indexed="64"/>
          <bgColor theme="9" tint="0.79998168889431442"/>
        </patternFill>
      </fill>
      <alignment wrapText="1"/>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solid">
          <bgColor theme="5" tint="0.39997558519241921"/>
        </patternFill>
      </fill>
      <alignment wrapText="1"/>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solid">
          <fgColor indexed="64"/>
          <bgColor theme="9" tint="0.79998168889431442"/>
        </patternFill>
      </fill>
      <alignment wrapText="1"/>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solid">
          <fgColor indexed="64"/>
          <bgColor theme="9" tint="0.79998168889431442"/>
        </patternFill>
      </fill>
      <alignment wrapText="1"/>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solid">
          <fgColor indexed="64"/>
          <bgColor theme="9" tint="0.79998168889431442"/>
        </patternFill>
      </fill>
      <alignment wrapText="1"/>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solid">
          <fgColor indexed="64"/>
          <bgColor theme="9" tint="0.79998168889431442"/>
        </patternFill>
      </fill>
      <alignment wrapText="1"/>
      <border diagonalUp="0" diagonalDown="0" outline="0">
        <left/>
        <right style="thin">
          <color indexed="64"/>
        </right>
        <top style="thin">
          <color indexed="64"/>
        </top>
        <bottom style="thin">
          <color indexed="64"/>
        </bottom>
      </border>
    </dxf>
    <dxf>
      <font>
        <strike val="0"/>
        <outline val="0"/>
        <shadow val="0"/>
        <u val="none"/>
        <vertAlign val="baseline"/>
        <sz val="11"/>
        <name val="Arial"/>
        <family val="2"/>
        <scheme val="none"/>
      </font>
      <border diagonalUp="0" diagonalDown="0" outline="0">
        <left style="thin">
          <color indexed="64"/>
        </left>
        <right style="thin">
          <color indexed="64"/>
        </right>
        <top/>
        <bottom/>
      </border>
    </dxf>
    <dxf>
      <font>
        <strike val="0"/>
        <outline val="0"/>
        <shadow val="0"/>
        <u val="none"/>
        <vertAlign val="baseline"/>
        <sz val="11"/>
        <name val="Arial"/>
        <family val="2"/>
        <scheme val="none"/>
      </font>
    </dxf>
    <dxf>
      <font>
        <strike val="0"/>
        <outline val="0"/>
        <shadow val="0"/>
        <u val="none"/>
        <vertAlign val="baseline"/>
        <sz val="11"/>
        <name val="Arial"/>
        <family val="2"/>
        <scheme val="none"/>
      </font>
      <border diagonalUp="0" diagonalDown="0" outline="0">
        <left style="thin">
          <color indexed="64"/>
        </left>
        <right style="thin">
          <color indexed="64"/>
        </right>
        <top/>
        <bottom/>
      </border>
    </dxf>
    <dxf>
      <font>
        <strike val="0"/>
        <outline val="0"/>
        <shadow val="0"/>
        <u val="none"/>
        <vertAlign val="baseline"/>
        <sz val="11"/>
        <name val="Arial"/>
        <family val="2"/>
        <scheme val="none"/>
      </font>
      <alignment wrapText="1"/>
    </dxf>
    <dxf>
      <font>
        <strike val="0"/>
        <outline val="0"/>
        <shadow val="0"/>
        <u val="none"/>
        <vertAlign val="baseline"/>
        <sz val="11"/>
        <name val="Arial"/>
        <family val="2"/>
        <scheme val="none"/>
      </font>
      <alignment wrapText="1"/>
    </dxf>
    <dxf>
      <font>
        <strike val="0"/>
        <outline val="0"/>
        <shadow val="0"/>
        <u val="none"/>
        <vertAlign val="baseline"/>
        <sz val="11"/>
        <name val="Arial"/>
        <family val="2"/>
        <scheme val="none"/>
      </font>
      <alignment wrapText="1"/>
    </dxf>
    <dxf>
      <font>
        <strike val="0"/>
        <outline val="0"/>
        <shadow val="0"/>
        <u val="none"/>
        <vertAlign val="baseline"/>
        <sz val="11"/>
        <name val="Arial"/>
        <family val="2"/>
        <scheme val="none"/>
      </font>
      <alignment wrapText="1"/>
    </dxf>
    <dxf>
      <font>
        <strike val="0"/>
        <outline val="0"/>
        <shadow val="0"/>
        <u val="none"/>
        <vertAlign val="baseline"/>
        <sz val="11"/>
        <name val="Arial"/>
        <family val="2"/>
        <scheme val="none"/>
      </font>
      <alignment wrapText="1"/>
    </dxf>
    <dxf>
      <font>
        <strike val="0"/>
        <outline val="0"/>
        <shadow val="0"/>
        <u val="none"/>
        <vertAlign val="baseline"/>
        <sz val="11"/>
        <name val="Arial"/>
        <family val="2"/>
        <scheme val="none"/>
      </font>
      <alignment wrapText="1"/>
    </dxf>
    <dxf>
      <font>
        <strike val="0"/>
        <outline val="0"/>
        <shadow val="0"/>
        <u val="none"/>
        <vertAlign val="baseline"/>
        <sz val="11"/>
        <name val="Arial"/>
        <family val="2"/>
        <scheme val="none"/>
      </font>
      <alignment wrapText="1"/>
    </dxf>
    <dxf>
      <font>
        <strike val="0"/>
        <outline val="0"/>
        <shadow val="0"/>
        <u val="none"/>
        <vertAlign val="baseline"/>
        <sz val="11"/>
        <name val="Arial"/>
        <family val="2"/>
        <scheme val="none"/>
      </font>
    </dxf>
    <dxf>
      <font>
        <strike val="0"/>
        <outline val="0"/>
        <shadow val="0"/>
        <u val="none"/>
        <vertAlign val="baseline"/>
        <sz val="11"/>
        <name val="Arial"/>
        <family val="2"/>
        <scheme val="none"/>
      </font>
    </dxf>
    <dxf>
      <border>
        <bottom style="thin">
          <color indexed="64"/>
        </bottom>
      </border>
    </dxf>
    <dxf>
      <font>
        <strike val="0"/>
        <outline val="0"/>
        <shadow val="0"/>
        <u val="none"/>
        <vertAlign val="baseline"/>
        <sz val="11"/>
        <name val="Arial"/>
        <family val="2"/>
        <scheme val="none"/>
      </font>
      <border diagonalUp="0" diagonalDown="0" outline="0">
        <left style="thin">
          <color indexed="64"/>
        </left>
        <right style="thin">
          <color indexed="64"/>
        </right>
        <top/>
        <bottom/>
      </border>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font>
        <b val="0"/>
        <i val="0"/>
        <strike val="0"/>
        <condense val="0"/>
        <extend val="0"/>
        <outline val="0"/>
        <shadow val="0"/>
        <u val="none"/>
        <vertAlign val="baseline"/>
        <sz val="11"/>
        <color auto="1"/>
        <name val="Calibri"/>
        <family val="2"/>
        <scheme val="none"/>
      </font>
      <numFmt numFmtId="165" formatCode="&quot;R$ &quot;#,##0.00"/>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font>
        <b val="0"/>
        <i val="0"/>
        <strike val="0"/>
        <condense val="0"/>
        <extend val="0"/>
        <outline val="0"/>
        <shadow val="0"/>
        <u val="none"/>
        <vertAlign val="baseline"/>
        <sz val="11"/>
        <color auto="1"/>
        <name val="Calibri"/>
        <family val="2"/>
        <scheme val="none"/>
      </font>
      <numFmt numFmtId="165" formatCode="&quot;R$ &quot;#,##0.00"/>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font>
        <b val="0"/>
        <i val="0"/>
        <strike val="0"/>
        <condense val="0"/>
        <extend val="0"/>
        <outline val="0"/>
        <shadow val="0"/>
        <u val="none"/>
        <vertAlign val="baseline"/>
        <sz val="11"/>
        <color auto="1"/>
        <name val="Calibri"/>
        <family val="2"/>
        <scheme val="none"/>
      </font>
      <numFmt numFmtId="165" formatCode="&quot;R$ &quot;#,##0.00"/>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font>
        <b val="0"/>
        <i val="0"/>
        <strike val="0"/>
        <condense val="0"/>
        <extend val="0"/>
        <outline val="0"/>
        <shadow val="0"/>
        <u val="none"/>
        <vertAlign val="baseline"/>
        <sz val="11"/>
        <color auto="1"/>
        <name val="Calibri"/>
        <family val="2"/>
        <scheme val="none"/>
      </font>
      <numFmt numFmtId="165" formatCode="&quot;R$ &quot;#,##0.00"/>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font>
        <b val="0"/>
        <i val="0"/>
        <strike val="0"/>
        <condense val="0"/>
        <extend val="0"/>
        <outline val="0"/>
        <shadow val="0"/>
        <u val="none"/>
        <vertAlign val="baseline"/>
        <sz val="11"/>
        <color auto="1"/>
        <name val="Calibri"/>
        <family val="2"/>
        <scheme val="none"/>
      </font>
      <numFmt numFmtId="165" formatCode="&quot;R$ &quot;#,##0.00"/>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numFmt numFmtId="165" formatCode="&quot;R$ &quot;#,##0.00"/>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font>
        <color theme="0"/>
      </font>
      <alignment wrapText="1"/>
    </dxf>
    <dxf>
      <alignment wrapText="1"/>
    </dxf>
    <dxf>
      <alignment wrapText="1"/>
    </dxf>
    <dxf>
      <alignment wrapText="1"/>
    </dxf>
    <dxf>
      <alignment wrapText="1"/>
    </dxf>
    <dxf>
      <alignment wrapText="1"/>
    </dxf>
    <dxf>
      <alignment wrapText="1"/>
    </dxf>
    <dxf>
      <font>
        <b val="0"/>
        <i val="0"/>
        <strike val="0"/>
        <condense val="0"/>
        <extend val="0"/>
        <outline val="0"/>
        <shadow val="0"/>
        <u val="none"/>
        <vertAlign val="baseline"/>
        <sz val="11"/>
        <color auto="1"/>
        <name val="Calibri"/>
        <family val="2"/>
        <scheme val="none"/>
      </font>
      <numFmt numFmtId="165" formatCode="&quot;R$ &quot;#,##0.00"/>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horizontal="justify"/>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font>
        <b val="0"/>
        <i val="0"/>
        <strike val="0"/>
        <condense val="0"/>
        <extend val="0"/>
        <outline val="0"/>
        <shadow val="0"/>
        <u val="none"/>
        <vertAlign val="baseline"/>
        <sz val="11"/>
        <color auto="1"/>
        <name val="Calibri"/>
        <family val="2"/>
        <scheme val="none"/>
      </font>
      <numFmt numFmtId="165" formatCode="&quot;R$ &quot;#,##0.00"/>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font>
        <b val="0"/>
        <i val="0"/>
        <strike val="0"/>
        <condense val="0"/>
        <extend val="0"/>
        <outline val="0"/>
        <shadow val="0"/>
        <u val="none"/>
        <vertAlign val="baseline"/>
        <sz val="11"/>
        <color auto="1"/>
        <name val="Calibri"/>
        <family val="2"/>
        <scheme val="none"/>
      </font>
      <numFmt numFmtId="165" formatCode="&quot;R$ &quot;#,##0.00"/>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b val="0"/>
        <i val="0"/>
        <strike val="0"/>
        <condense val="0"/>
        <extend val="0"/>
        <outline val="0"/>
        <shadow val="0"/>
        <u val="none"/>
        <vertAlign val="baseline"/>
        <sz val="11"/>
        <color auto="1"/>
        <name val="Calibri"/>
        <family val="2"/>
        <scheme val="none"/>
      </font>
      <numFmt numFmtId="165" formatCode="&quot;R$ &quot;#,##0.00"/>
      <alignment horizontal="center" vertical="bottom" textRotation="0" wrapText="0" indent="0" justifyLastLine="0" shrinkToFit="0" readingOrder="0"/>
    </dxf>
    <dxf>
      <alignment wrapText="1"/>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numFmt numFmtId="14" formatCode="0.00%"/>
      <alignment horizontal="center" vertical="bottom" textRotation="0" wrapText="0" indent="0" justifyLastLine="0" shrinkToFit="0" readingOrder="0"/>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rgb="FFFF0000"/>
      </font>
      <alignment wrapText="1"/>
    </dxf>
    <dxf>
      <font>
        <color rgb="FFFF0000"/>
      </font>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alignment wrapText="1"/>
    </dxf>
    <dxf>
      <alignment wrapText="1"/>
    </dxf>
    <dxf>
      <alignment wrapText="1"/>
    </dxf>
    <dxf>
      <alignment wrapText="1"/>
    </dxf>
    <dxf>
      <alignment wrapText="1"/>
    </dxf>
    <dxf>
      <alignment wrapText="1"/>
    </dxf>
    <dxf>
      <numFmt numFmtId="165" formatCode="&quot;R$ &quot;#,##0.00"/>
      <alignment horizontal="center" vertical="bottom" textRotation="0" wrapText="0" indent="0" justifyLastLine="0" shrinkToFit="0" readingOrder="0"/>
    </dxf>
    <dxf>
      <alignment horizontal="center" vertical="bottom" textRotation="0" wrapText="0" indent="0" justifyLastLine="0" shrinkToFit="0" readingOrder="0"/>
    </dxf>
    <dxf>
      <alignment wrapText="1"/>
    </dxf>
    <dxf>
      <font>
        <b val="0"/>
        <i val="0"/>
        <strike val="0"/>
        <condense val="0"/>
        <extend val="0"/>
        <outline val="0"/>
        <shadow val="0"/>
        <u val="none"/>
        <vertAlign val="baseline"/>
        <sz val="11"/>
        <color auto="1"/>
        <name val="Calibri"/>
        <family val="2"/>
        <scheme val="none"/>
      </font>
    </dxf>
    <dxf>
      <alignment wrapText="1"/>
    </dxf>
    <dxf>
      <font>
        <b val="0"/>
        <i val="0"/>
        <strike val="0"/>
        <condense val="0"/>
        <extend val="0"/>
        <outline val="0"/>
        <shadow val="0"/>
        <u val="none"/>
        <vertAlign val="baseline"/>
        <sz val="11"/>
        <color rgb="FF000000"/>
        <name val="Calibri"/>
        <charset val="134"/>
        <scheme val="none"/>
      </font>
      <alignment horizontal="center" vertical="center" textRotation="0" wrapText="0" indent="0" justifyLastLine="0" shrinkToFit="0" readingOrder="0"/>
    </dxf>
    <dxf>
      <alignment wrapText="1"/>
    </dxf>
    <dxf>
      <font>
        <color rgb="FFFF0000"/>
      </font>
      <alignment wrapText="1"/>
    </dxf>
    <dxf>
      <alignment wrapText="1"/>
    </dxf>
    <dxf>
      <font>
        <b val="0"/>
        <i val="0"/>
        <strike val="0"/>
        <condense val="0"/>
        <extend val="0"/>
        <outline val="0"/>
        <shadow val="0"/>
        <u val="none"/>
        <vertAlign val="baseline"/>
        <sz val="11"/>
        <color theme="1"/>
        <name val="Calibri"/>
        <family val="2"/>
        <scheme val="minor"/>
      </font>
      <numFmt numFmtId="164" formatCode="&quot;R$&quot;\ #,##0.00_);[Red]\(&quot;R$&quot;\ #,##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center" vertical="center"/>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center"/>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center"/>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center" textRotation="0" wrapText="0" indent="0" justifyLastLine="0" shrinkToFit="0" readingOrder="0"/>
      <border diagonalUp="0" diagonalDown="0">
        <left/>
        <right style="thin">
          <color indexed="64"/>
        </right>
        <top/>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eetMetadata" Target="metadata.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813889/Documents/Rafael%202023/Compras/Preg&#245;es%20do%20IFPB%20Campus%20Cajazeiras/Preg&#227;o%20XX2023%20Apoio%20Administrativo/Planilhas%20Base/13.%20Planilha%20-%20Custos%20dos%20Profissionais%20-%20Campus%20Pat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entações"/>
      <sheetName val="Servente"/>
      <sheetName val="Recepcionista Secretário(a)"/>
      <sheetName val="Portaria"/>
      <sheetName val="Motorista Interestadual"/>
      <sheetName val="Diárias"/>
      <sheetName val="Uniformes"/>
      <sheetName val="Materiais"/>
      <sheetName val="RESUMO"/>
    </sheetNames>
    <sheetDataSet>
      <sheetData sheetId="0"/>
      <sheetData sheetId="1"/>
      <sheetData sheetId="2"/>
      <sheetData sheetId="3"/>
      <sheetData sheetId="4">
        <row r="132">
          <cell r="C132">
            <v>6.4999999999999997E-3</v>
          </cell>
        </row>
        <row r="133">
          <cell r="C133">
            <v>0.03</v>
          </cell>
        </row>
        <row r="134">
          <cell r="C134">
            <v>0.05</v>
          </cell>
        </row>
      </sheetData>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CITL" displayName="CITL" ref="F15:G20" totalsRowShown="0">
  <autoFilter ref="F15:G20" xr:uid="{00000000-0009-0000-0100-000001000000}"/>
  <tableColumns count="2">
    <tableColumn id="1" xr3:uid="{00000000-0010-0000-0000-000001000000}" name="Descrição" dataDxfId="602"/>
    <tableColumn id="2" xr3:uid="{00000000-0010-0000-0000-000002000000}" name="Percentual" dataDxfId="601"/>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9000000}" name="ResumoPosto" displayName="ResumoPosto" ref="A140:D148" totalsRowShown="0">
  <autoFilter ref="A140:D148" xr:uid="{00000000-0009-0000-0100-000010000000}"/>
  <tableColumns count="4">
    <tableColumn id="1" xr3:uid="{00000000-0010-0000-0900-000001000000}" name="Item" dataDxfId="572"/>
    <tableColumn id="2" xr3:uid="{00000000-0010-0000-0900-000002000000}" name="Mão de obra vinculada à execução contratual" dataDxfId="571"/>
    <tableColumn id="3" xr3:uid="{00000000-0010-0000-0900-000003000000}" name="-" dataDxfId="570"/>
    <tableColumn id="4" xr3:uid="{00000000-0010-0000-0900-000004000000}" name="Valor" dataDxfId="569">
      <calculatedColumnFormula>(SUM(D134:D138)+D123+D124)/(100%-C125)</calculatedColumnFormula>
    </tableColumn>
  </tableColumns>
  <tableStyleInfo showFirstColumn="0" showLastColumn="0" showRowStripes="1" showColumnStripes="0"/>
</table>
</file>

<file path=xl/tables/table10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7" xr:uid="{00000000-000C-0000-FFFF-FFFF62000000}" name="Módulo358" displayName="Módulo358" ref="A76:D83" totalsRowCount="1">
  <autoFilter ref="A76:D82" xr:uid="{00000000-0009-0000-0100-00007F000000}"/>
  <tableColumns count="4">
    <tableColumn id="1" xr3:uid="{00000000-0010-0000-6200-000001000000}" name="3" totalsRowLabel="Total" dataDxfId="228"/>
    <tableColumn id="2" xr3:uid="{00000000-0010-0000-6200-000002000000}" name="Provisão para Rescisão" dataDxfId="227"/>
    <tableColumn id="3" xr3:uid="{00000000-0010-0000-6200-000003000000}" name="Percentual" totalsRowFunction="custom">
      <calculatedColumnFormula>(0.08*0.4*0.98)</calculatedColumnFormula>
      <totalsRowFormula>SUM(C77:C82)</totalsRowFormula>
    </tableColumn>
    <tableColumn id="4" xr3:uid="{00000000-0010-0000-6200-000004000000}" name="Valor" totalsRowFunction="custom">
      <calculatedColumnFormula>TRUNC(($D$31*C77),2)</calculatedColumnFormula>
      <totalsRowFormula>TRUNC((SUM(D77:D82)),2)</totalsRowFormula>
    </tableColumn>
  </tableColumns>
  <tableStyleInfo showFirstColumn="0" showLastColumn="0" showRowStripes="1" showColumnStripes="0"/>
</table>
</file>

<file path=xl/tables/table10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8" xr:uid="{00000000-000C-0000-FFFF-FFFF63000000}" name="Módulo562" displayName="Módulo562" ref="A113:D119" totalsRowCount="1">
  <autoFilter ref="A113:D118" xr:uid="{00000000-0009-0000-0100-000080000000}"/>
  <tableColumns count="4">
    <tableColumn id="1" xr3:uid="{00000000-0010-0000-6300-000001000000}" name="5" totalsRowLabel="Total" dataDxfId="226" totalsRowDxfId="225"/>
    <tableColumn id="2" xr3:uid="{00000000-0010-0000-6300-000002000000}" name="Insumos Diversos" dataDxfId="224"/>
    <tableColumn id="3" xr3:uid="{00000000-0010-0000-6300-000003000000}" name="Comentário" dataDxfId="223"/>
    <tableColumn id="4" xr3:uid="{00000000-0010-0000-6300-000004000000}" name="Valor" totalsRowFunction="custom" totalsRowDxfId="222">
      <calculatedColumnFormula>J113</calculatedColumnFormula>
      <totalsRowFormula>TRUNC(SUM(D114:D118),2)</totalsRowFormula>
    </tableColumn>
  </tableColumns>
  <tableStyleInfo showFirstColumn="0" showLastColumn="0" showRowStripes="1" showColumnStripes="0"/>
</table>
</file>

<file path=xl/tables/table10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9" xr:uid="{00000000-000C-0000-FFFF-FFFF64000000}" name="Submódulo2.255_130" displayName="Submódulo2.255_130" ref="A46:D55" totalsRowCount="1">
  <autoFilter ref="A46:D54" xr:uid="{00000000-0009-0000-0100-000081000000}"/>
  <tableColumns count="4">
    <tableColumn id="1" xr3:uid="{00000000-0010-0000-6400-000001000000}" name="2.2" totalsRowLabel="Total" dataDxfId="221" totalsRowDxfId="220"/>
    <tableColumn id="2" xr3:uid="{00000000-0010-0000-6400-000002000000}" name="GPS, FGTS e outras contribuições" dataDxfId="219"/>
    <tableColumn id="3" xr3:uid="{00000000-0010-0000-6400-000003000000}" name="Percentual" totalsRowFunction="custom" totalsRowDxfId="218">
      <totalsRowFormula>SUM(C47:C54)</totalsRowFormula>
    </tableColumn>
    <tableColumn id="4" xr3:uid="{00000000-0010-0000-6400-000004000000}" name="Valor " totalsRowFunction="custom" totalsRowDxfId="217">
      <calculatedColumnFormula>TRUNC(($D$43*C47),2)</calculatedColumnFormula>
      <totalsRowFormula>TRUNC((SUM(D47:D54)),2)</totalsRowFormula>
    </tableColumn>
  </tableColumns>
  <tableStyleInfo showFirstColumn="0" showLastColumn="0" showRowStripes="1" showColumnStripes="0"/>
</table>
</file>

<file path=xl/tables/table10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0" xr:uid="{00000000-000C-0000-FFFF-FFFF65000000}" name="ResumoPosto64_131" displayName="ResumoPosto64_131" ref="A140:D148" totalsRowShown="0">
  <autoFilter ref="A140:D148" xr:uid="{00000000-0009-0000-0100-000082000000}"/>
  <tableColumns count="4">
    <tableColumn id="1" xr3:uid="{00000000-0010-0000-6500-000001000000}" name="Item" dataDxfId="216"/>
    <tableColumn id="2" xr3:uid="{00000000-0010-0000-6500-000002000000}" name="Mão de obra vinculada à execução contratual" dataDxfId="215"/>
    <tableColumn id="3" xr3:uid="{00000000-0010-0000-6500-000003000000}" name="-" dataDxfId="214"/>
    <tableColumn id="4" xr3:uid="{00000000-0010-0000-6500-000004000000}" name="Valor" dataDxfId="213">
      <calculatedColumnFormula>TRUNC((SUM(D134:D138)+D140),2)</calculatedColumnFormula>
    </tableColumn>
  </tableColumns>
  <tableStyleInfo showFirstColumn="0" showLastColumn="0" showRowStripes="1" showColumnStripes="0"/>
</table>
</file>

<file path=xl/tables/table10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1" xr:uid="{00000000-000C-0000-FFFF-FFFF66000000}" name="Submódulo2.154_132" displayName="Submódulo2.154_132" ref="A36:D39" totalsRowCount="1">
  <autoFilter ref="A36:D38" xr:uid="{00000000-0009-0000-0100-000083000000}"/>
  <tableColumns count="4">
    <tableColumn id="1" xr3:uid="{00000000-0010-0000-6600-000001000000}" name="2.1" totalsRowLabel="Total" dataDxfId="212"/>
    <tableColumn id="2" xr3:uid="{00000000-0010-0000-6600-000002000000}" name="13º (décimo terceiro) Salário, Férias e Adicional de Férias" dataDxfId="211"/>
    <tableColumn id="3" xr3:uid="{00000000-0010-0000-6600-000003000000}" name="Percentual" dataDxfId="210">
      <calculatedColumnFormula>(((1+1/3)/12))</calculatedColumnFormula>
    </tableColumn>
    <tableColumn id="4" xr3:uid="{00000000-0010-0000-6600-000004000000}" name="Valor" totalsRowFunction="custom">
      <calculatedColumnFormula>TRUNC($D$31*C37,2)</calculatedColumnFormula>
      <totalsRowFormula>TRUNC((SUM(D37:D38)),2)</totalsRowFormula>
    </tableColumn>
  </tableColumns>
  <tableStyleInfo showFirstColumn="0" showLastColumn="0" showRowStripes="1" showColumnStripes="0"/>
</table>
</file>

<file path=xl/tables/table10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2" xr:uid="{00000000-000C-0000-FFFF-FFFF67000000}" name="Módulo562_133" displayName="Módulo562_133" ref="A113:D119" totalsRowCount="1">
  <autoFilter ref="A113:D118" xr:uid="{00000000-0009-0000-0100-000084000000}"/>
  <tableColumns count="4">
    <tableColumn id="1" xr3:uid="{00000000-0010-0000-6700-000001000000}" name="5" totalsRowLabel="Total" dataDxfId="209" totalsRowDxfId="208"/>
    <tableColumn id="2" xr3:uid="{00000000-0010-0000-6700-000002000000}" name="Insumos Diversos" dataDxfId="207"/>
    <tableColumn id="3" xr3:uid="{00000000-0010-0000-6700-000003000000}" name="Comentário" dataDxfId="206"/>
    <tableColumn id="4" xr3:uid="{00000000-0010-0000-6700-000004000000}" name="Valor" totalsRowFunction="custom" totalsRowDxfId="205">
      <calculatedColumnFormula>J113</calculatedColumnFormula>
      <totalsRowFormula>TRUNC(SUM(D114:D118),2)</totalsRowFormula>
    </tableColumn>
  </tableColumns>
  <tableStyleInfo showFirstColumn="0" showLastColumn="0" showRowStripes="1" showColumnStripes="0"/>
</table>
</file>

<file path=xl/tables/table10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3" xr:uid="{00000000-000C-0000-FFFF-FFFF68000000}" name="Módulo663_134" displayName="Módulo663_134" ref="A129:D136" totalsRowCount="1">
  <tableColumns count="4">
    <tableColumn id="1" xr3:uid="{00000000-0010-0000-6800-000001000000}" name="6" totalsRowLabel="Total" dataDxfId="204" totalsRowDxfId="203"/>
    <tableColumn id="2" xr3:uid="{00000000-0010-0000-6800-000002000000}" name="Custos Indiretos, Tributos e Lucro" dataDxfId="202"/>
    <tableColumn id="3" xr3:uid="{00000000-0010-0000-6800-000003000000}" name="Percentual" dataDxfId="201" totalsRowDxfId="200"/>
    <tableColumn id="4" xr3:uid="{00000000-0010-0000-6800-000004000000}" name="Valor" totalsRowFunction="custom" totalsRowDxfId="199">
      <calculatedColumnFormula>TRUNC(($I$133*C130),2)</calculatedColumnFormula>
      <totalsRowFormula>TRUNC(SUM(D130:D132),2)</totalsRowFormula>
    </tableColumn>
  </tableColumns>
  <tableStyleInfo showFirstColumn="0" showLastColumn="0" showRowStripes="1" showColumnStripes="0"/>
</table>
</file>

<file path=xl/tables/table10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4" xr:uid="{00000000-000C-0000-FFFF-FFFF69000000}" name="ResumoMódulo257_135" displayName="ResumoMódulo257_135" ref="A69:D73" totalsRowCount="1">
  <autoFilter ref="A69:D72" xr:uid="{00000000-0009-0000-0100-000086000000}"/>
  <tableColumns count="4">
    <tableColumn id="1" xr3:uid="{00000000-0010-0000-6900-000001000000}" name="2" totalsRowLabel="Total" dataDxfId="198"/>
    <tableColumn id="2" xr3:uid="{00000000-0010-0000-6900-000002000000}" name="Encargos e Benefícios Anuais, Mensais e Diários" dataDxfId="197"/>
    <tableColumn id="3" xr3:uid="{00000000-0010-0000-6900-000003000000}" name="Comentário" dataDxfId="196"/>
    <tableColumn id="4" xr3:uid="{00000000-0010-0000-6900-000004000000}" name="Valor" totalsRowFunction="custom">
      <calculatedColumnFormula>D64</calculatedColumnFormula>
      <totalsRowFormula>TRUNC((SUM(D70:D72)),2)</totalsRowFormula>
    </tableColumn>
  </tableColumns>
  <tableStyleInfo showFirstColumn="0" showLastColumn="0" showRowStripes="1" showColumnStripes="0"/>
</table>
</file>

<file path=xl/tables/table10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5" xr:uid="{00000000-000C-0000-FFFF-FFFF6A000000}" name="ResumoMódulo461_136" displayName="ResumoMódulo461_136" ref="A107:D110" totalsRowCount="1">
  <autoFilter ref="A107:D109" xr:uid="{00000000-0009-0000-0100-000087000000}"/>
  <tableColumns count="4">
    <tableColumn id="1" xr3:uid="{00000000-0010-0000-6A00-000001000000}" name="4" totalsRowLabel="Total" dataDxfId="195"/>
    <tableColumn id="2" xr3:uid="{00000000-0010-0000-6A00-000002000000}" name="Custo de Reposição do Profissional Ausente" dataDxfId="194"/>
    <tableColumn id="3" xr3:uid="{00000000-0010-0000-6A00-000003000000}" name="Comentário" totalsRowLabel="*Nota: Se o titular USUFRUIR do descanso intrajornada, o total é o somatório dos subitens 4.1 e 4.2" dataDxfId="193"/>
    <tableColumn id="4" xr3:uid="{00000000-0010-0000-6A00-000004000000}" name="Valor" totalsRowFunction="custom">
      <calculatedColumnFormula>Submódulo4.260_138[[#Totals],[Valor]]</calculatedColumnFormula>
      <totalsRowFormula>TRUNC((SUM(D108:D109)),2)</totalsRowFormula>
    </tableColumn>
  </tableColumns>
  <tableStyleInfo showFirstColumn="0" showLastColumn="0" showRowStripes="1" showColumnStripes="0"/>
</table>
</file>

<file path=xl/tables/table10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6" xr:uid="{00000000-000C-0000-FFFF-FFFF6B000000}" name="Submódulo4.159_137" displayName="Submódulo4.159_137" ref="A92:D99" totalsRowCount="1">
  <autoFilter ref="A92:D98" xr:uid="{00000000-0009-0000-0100-000088000000}"/>
  <tableColumns count="4">
    <tableColumn id="1" xr3:uid="{00000000-0010-0000-6B00-000001000000}" name="4.1" totalsRowLabel="Total" dataDxfId="192"/>
    <tableColumn id="2" xr3:uid="{00000000-0010-0000-6B00-000002000000}" name="Substituto nas Ausências Legais" dataDxfId="191"/>
    <tableColumn id="3" xr3:uid="{00000000-0010-0000-6B00-000003000000}" name="Percentual" totalsRowFunction="sum" dataDxfId="190"/>
    <tableColumn id="4" xr3:uid="{00000000-0010-0000-6B00-000004000000}" name="Valor" totalsRowFunction="custom">
      <calculatedColumnFormula>TRUNC($D$88*C93)</calculatedColumnFormula>
      <totalsRowFormula>TRUNC((SUM(D93:D98)),2)</totalsRow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A000000}" name="Submódulo2.1" displayName="Submódulo2.1" ref="A21:D24">
  <tableColumns count="4">
    <tableColumn id="1" xr3:uid="{00000000-0010-0000-0A00-000001000000}" name="2.1" totalsRowLabel="Total" dataDxfId="568"/>
    <tableColumn id="2" xr3:uid="{00000000-0010-0000-0A00-000002000000}" name="13º (décimo terceiro) Salário, Férias e Adicional de Férias" dataDxfId="567"/>
    <tableColumn id="3" xr3:uid="{00000000-0010-0000-0A00-000003000000}" name="Comentário" dataDxfId="566"/>
    <tableColumn id="4" xr3:uid="{00000000-0010-0000-0A00-000004000000}" name="Valor" dataDxfId="565">
      <calculatedColumnFormula>SUBTOTAL(109,Submódulo2.1[Valor])</calculatedColumnFormula>
    </tableColumn>
  </tableColumns>
  <tableStyleInfo showFirstColumn="0" showLastColumn="0" showRowStripes="1" showColumnStripes="0"/>
</table>
</file>

<file path=xl/tables/table1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7" xr:uid="{00000000-000C-0000-FFFF-FFFF6C000000}" name="Submódulo4.260_138" displayName="Submódulo4.260_138" ref="A102:D104" totalsRowCount="1">
  <autoFilter ref="A102:D103" xr:uid="{00000000-0009-0000-0100-000089000000}"/>
  <tableColumns count="4">
    <tableColumn id="1" xr3:uid="{00000000-0010-0000-6C00-000001000000}" name="4.2" totalsRowLabel="Total" dataDxfId="189"/>
    <tableColumn id="2" xr3:uid="{00000000-0010-0000-6C00-000002000000}" name="Substituto na Intrajornada " dataDxfId="188"/>
    <tableColumn id="3" xr3:uid="{00000000-0010-0000-6C00-000003000000}" name="Comentário" dataDxfId="187"/>
    <tableColumn id="4" xr3:uid="{00000000-0010-0000-6C00-000004000000}" name="Valor" totalsRowFunction="custom">
      <totalsRowFormula>D103</totalsRowFormula>
    </tableColumn>
  </tableColumns>
  <tableStyleInfo showFirstColumn="0" showLastColumn="0" showRowStripes="1" showColumnStripes="0"/>
</table>
</file>

<file path=xl/tables/table1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8" xr:uid="{00000000-000C-0000-FFFF-FFFF6D000000}" name="Table452_139" displayName="Table452_139" ref="A16:D21" totalsRowShown="0">
  <tableColumns count="4">
    <tableColumn id="1" xr3:uid="{00000000-0010-0000-6D00-000001000000}" name="Item" dataDxfId="186"/>
    <tableColumn id="2" xr3:uid="{00000000-0010-0000-6D00-000002000000}" name="Descrição" dataDxfId="185"/>
    <tableColumn id="3" xr3:uid="{00000000-0010-0000-6D00-000003000000}" name="Comentário" dataDxfId="184">
      <calculatedColumnFormula>C5</calculatedColumnFormula>
    </tableColumn>
    <tableColumn id="4" xr3:uid="{00000000-0010-0000-6D00-000004000000}" name="Valor" dataDxfId="183"/>
  </tableColumns>
  <tableStyleInfo showFirstColumn="0" showLastColumn="0" showRowStripes="1" showColumnStripes="0"/>
</table>
</file>

<file path=xl/tables/table1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9" xr:uid="{00000000-000C-0000-FFFF-FFFF6E000000}" name="Módulo358_140" displayName="Módulo358_140" ref="A76:D83" totalsRowCount="1">
  <autoFilter ref="A76:D82" xr:uid="{00000000-0009-0000-0100-00008B000000}"/>
  <tableColumns count="4">
    <tableColumn id="1" xr3:uid="{00000000-0010-0000-6E00-000001000000}" name="3" totalsRowLabel="Total" dataDxfId="182"/>
    <tableColumn id="2" xr3:uid="{00000000-0010-0000-6E00-000002000000}" name="Provisão para Rescisão" dataDxfId="181"/>
    <tableColumn id="3" xr3:uid="{00000000-0010-0000-6E00-000003000000}" name="Percentual" totalsRowFunction="custom">
      <calculatedColumnFormula>(0.08*0.4*0.98)</calculatedColumnFormula>
      <totalsRowFormula>SUM(C77:C82)</totalsRowFormula>
    </tableColumn>
    <tableColumn id="4" xr3:uid="{00000000-0010-0000-6E00-000004000000}" name="Valor" totalsRowFunction="custom">
      <calculatedColumnFormula>TRUNC(($D$31*C77),2)</calculatedColumnFormula>
      <totalsRowFormula>TRUNC((SUM(D77:D82)),2)</totalsRowFormula>
    </tableColumn>
  </tableColumns>
  <tableStyleInfo showFirstColumn="0" showLastColumn="0" showRowStripes="1" showColumnStripes="0"/>
</table>
</file>

<file path=xl/tables/table1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0" xr:uid="{00000000-000C-0000-FFFF-FFFF6F000000}" name="Módulo153_141" displayName="Módulo153_141" ref="A24:D31" totalsRowCount="1">
  <autoFilter ref="A24:D30" xr:uid="{00000000-0009-0000-0100-00008C000000}"/>
  <tableColumns count="4">
    <tableColumn id="1" xr3:uid="{00000000-0010-0000-6F00-000001000000}" name="1" totalsRowLabel="Total" dataDxfId="180"/>
    <tableColumn id="2" xr3:uid="{00000000-0010-0000-6F00-000002000000}" name="Composição da Remuneração" dataDxfId="179"/>
    <tableColumn id="3" xr3:uid="{00000000-0010-0000-6F00-000003000000}" name="Comentário" dataDxfId="178"/>
    <tableColumn id="4" xr3:uid="{00000000-0010-0000-6F00-000004000000}" name="Valor" totalsRowFunction="custom">
      <totalsRowFormula>TRUNC((SUM(D25:D30)),2)</totalsRowFormula>
    </tableColumn>
  </tableColumns>
  <tableStyleInfo showFirstColumn="0" showLastColumn="0" showRowStripes="1" showColumnStripes="0"/>
</table>
</file>

<file path=xl/tables/table1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1" xr:uid="{00000000-000C-0000-FFFF-FFFF70000000}" name="Submódulo2.356_142" displayName="Submódulo2.356_142" ref="A58:D66" totalsRowCount="1">
  <autoFilter ref="A58:D65" xr:uid="{00000000-0009-0000-0100-00008D000000}"/>
  <tableColumns count="4">
    <tableColumn id="1" xr3:uid="{00000000-0010-0000-7000-000001000000}" name="2.3" totalsRowLabel="Total" dataDxfId="177"/>
    <tableColumn id="2" xr3:uid="{00000000-0010-0000-7000-000002000000}" name="Benefícios Mensais e Diários" dataDxfId="176"/>
    <tableColumn id="3" xr3:uid="{00000000-0010-0000-7000-000003000000}" name="Comentário" dataDxfId="175">
      <calculatedColumnFormula>C54</calculatedColumnFormula>
    </tableColumn>
    <tableColumn id="4" xr3:uid="{00000000-0010-0000-7000-000004000000}" name="Valor" totalsRowFunction="custom">
      <totalsRowFormula>TRUNC((SUM(D59:D65)),2)</totalsRowFormula>
    </tableColumn>
  </tableColumns>
  <tableStyleInfo showFirstColumn="0" showLastColumn="0" showRowStripes="1" showColumnStripes="0"/>
</table>
</file>

<file path=xl/tables/table1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B7317BF7-C4D2-4DD4-A430-075CE166453E}" name="Submódulo2.255_13010" displayName="Submódulo2.255_13010" ref="A46:D55" totalsRowCount="1">
  <autoFilter ref="A46:D54" xr:uid="{B7317BF7-C4D2-4DD4-A430-075CE166453E}"/>
  <tableColumns count="4">
    <tableColumn id="1" xr3:uid="{B8F834CD-CC23-4F30-A8C0-FB6BC449A309}" name="2.2" totalsRowLabel="Total" dataDxfId="174" totalsRowDxfId="173"/>
    <tableColumn id="2" xr3:uid="{54063243-75EC-4790-8C8C-F7EF12553110}" name="GPS, FGTS e outras contribuições" dataDxfId="172"/>
    <tableColumn id="3" xr3:uid="{C7A20EFF-DAF3-4B40-9F64-2A5CB25A200A}" name="Percentual" totalsRowFunction="custom" totalsRowDxfId="171">
      <totalsRowFormula>SUM(C47:C54)</totalsRowFormula>
    </tableColumn>
    <tableColumn id="4" xr3:uid="{E3075ADF-52D4-4104-B55C-03E663B0413B}" name="Valor " totalsRowFunction="custom" totalsRowDxfId="170">
      <calculatedColumnFormula>TRUNC(($D$43*C47),2)</calculatedColumnFormula>
      <totalsRowFormula>TRUNC((SUM(D47:D54)),2)</totalsRowFormula>
    </tableColumn>
  </tableColumns>
  <tableStyleInfo showFirstColumn="0" showLastColumn="0" showRowStripes="1" showColumnStripes="0"/>
</table>
</file>

<file path=xl/tables/table1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6CB0EB0E-728E-40DB-BA86-5D9BBC970B9D}" name="ResumoPosto64_13112" displayName="ResumoPosto64_13112" ref="A140:D148" totalsRowShown="0">
  <autoFilter ref="A140:D148" xr:uid="{6CB0EB0E-728E-40DB-BA86-5D9BBC970B9D}"/>
  <tableColumns count="4">
    <tableColumn id="1" xr3:uid="{318B7136-D091-4CE4-A5A2-7AF88D8FCE4A}" name="Item" dataDxfId="169"/>
    <tableColumn id="2" xr3:uid="{E60151D1-43ED-45FB-8A75-5B4A1AF811A1}" name="Mão de obra vinculada à execução contratual" dataDxfId="168"/>
    <tableColumn id="3" xr3:uid="{5F4563C5-CC30-4828-85BF-DA483E7E5FE7}" name="-" dataDxfId="167"/>
    <tableColumn id="4" xr3:uid="{6AB8FB9C-1AA5-47F4-9423-8DE5F5580BC7}" name="Valor" dataDxfId="166">
      <calculatedColumnFormula>TRUNC((SUM(D134:D138)+D140),2)</calculatedColumnFormula>
    </tableColumn>
  </tableColumns>
  <tableStyleInfo showFirstColumn="0" showLastColumn="0" showRowStripes="1" showColumnStripes="0"/>
</table>
</file>

<file path=xl/tables/table1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2C1CEC2C-6511-456E-8DF8-6FF0EB07C814}" name="Submódulo2.154_13214" displayName="Submódulo2.154_13214" ref="A36:D39" totalsRowCount="1">
  <autoFilter ref="A36:D38" xr:uid="{2C1CEC2C-6511-456E-8DF8-6FF0EB07C814}"/>
  <tableColumns count="4">
    <tableColumn id="1" xr3:uid="{D4E35CBF-396A-48FB-80FB-83AC6B3214D0}" name="2.1" totalsRowLabel="Total" dataDxfId="165"/>
    <tableColumn id="2" xr3:uid="{81E40F91-FB34-4DBD-95F2-AE8195212AF7}" name="13º (décimo terceiro) Salário, Férias e Adicional de Férias" dataDxfId="164"/>
    <tableColumn id="3" xr3:uid="{5523D125-B400-475B-A15D-E0F0321129D9}" name="Percentual" dataDxfId="163">
      <calculatedColumnFormula>(((1+1/3)/12))</calculatedColumnFormula>
    </tableColumn>
    <tableColumn id="4" xr3:uid="{EE43B260-5B66-4124-8313-B402E1E885D8}" name="Valor" totalsRowFunction="custom">
      <calculatedColumnFormula>TRUNC($D$31*C37,2)</calculatedColumnFormula>
      <totalsRowFormula>TRUNC((SUM(D37:D38)),2)</totalsRowFormula>
    </tableColumn>
  </tableColumns>
  <tableStyleInfo showFirstColumn="0" showLastColumn="0" showRowStripes="1" showColumnStripes="0"/>
</table>
</file>

<file path=xl/tables/table1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774AA50B-9EAD-4892-81F7-40B67DBAFF26}" name="Módulo562_13316" displayName="Módulo562_13316" ref="A113:D119" totalsRowCount="1">
  <autoFilter ref="A113:D118" xr:uid="{774AA50B-9EAD-4892-81F7-40B67DBAFF26}"/>
  <tableColumns count="4">
    <tableColumn id="1" xr3:uid="{33458D6D-BAAF-476C-B5F6-036216E6FA02}" name="5" totalsRowLabel="Total" dataDxfId="162" totalsRowDxfId="161"/>
    <tableColumn id="2" xr3:uid="{568965D4-98F1-48FC-8C89-8B4B9A410BA5}" name="Insumos Diversos" dataDxfId="160"/>
    <tableColumn id="3" xr3:uid="{674A49B9-785C-44FE-AAC1-42587F473428}" name="Comentário" dataDxfId="159"/>
    <tableColumn id="4" xr3:uid="{33B6C34C-A644-400A-8DEE-BCE3D85547D8}" name="Valor" totalsRowFunction="custom" totalsRowDxfId="158">
      <calculatedColumnFormula>J113</calculatedColumnFormula>
      <totalsRowFormula>TRUNC(SUM(D114:D118),2)</totalsRowFormula>
    </tableColumn>
  </tableColumns>
  <tableStyleInfo showFirstColumn="0" showLastColumn="0" showRowStripes="1" showColumnStripes="0"/>
</table>
</file>

<file path=xl/tables/table1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B1F23C2B-41D8-41B6-89FF-EB39BBD69158}" name="Módulo663_13418" displayName="Módulo663_13418" ref="A129:D136" totalsRowCount="1">
  <tableColumns count="4">
    <tableColumn id="1" xr3:uid="{19B2E068-382F-4D78-ABE5-E8F85EEF6748}" name="6" totalsRowLabel="Total" dataDxfId="157" totalsRowDxfId="156"/>
    <tableColumn id="2" xr3:uid="{2CEBFA38-29E3-457F-9624-3E569DE4E0E3}" name="Custos Indiretos, Tributos e Lucro" dataDxfId="155"/>
    <tableColumn id="3" xr3:uid="{E3109A47-87D4-49AA-9A4B-78C7E4A86B8F}" name="Percentual" dataDxfId="154" totalsRowDxfId="153"/>
    <tableColumn id="4" xr3:uid="{2AFADCC9-D8C0-40B8-A897-45D5BF102F8A}" name="Valor" totalsRowFunction="custom" totalsRowDxfId="152">
      <calculatedColumnFormula>TRUNC(($I$133*C130),2)</calculatedColumnFormula>
      <totalsRowFormula>TRUNC(SUM(D130:D132),2)</totalsRow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B000000}" name="Submódulo2.2" displayName="Submódulo2.2" ref="A32:D41">
  <tableColumns count="4">
    <tableColumn id="1" xr3:uid="{00000000-0010-0000-0B00-000001000000}" name="2.2" totalsRowLabel="Total" dataDxfId="564"/>
    <tableColumn id="2" xr3:uid="{00000000-0010-0000-0B00-000002000000}" name="GPS, FGTS e outras contribuições" dataDxfId="563"/>
    <tableColumn id="3" xr3:uid="{00000000-0010-0000-0B00-000003000000}" name="Percentual" dataDxfId="562">
      <calculatedColumnFormula>SUBTOTAL(109,Submódulo2.2[Percentual])</calculatedColumnFormula>
    </tableColumn>
    <tableColumn id="4" xr3:uid="{00000000-0010-0000-0B00-000004000000}" name="Valor " dataDxfId="561">
      <calculatedColumnFormula>SUBTOTAL(109,Submódulo2.2[[Valor ]])</calculatedColumnFormula>
    </tableColumn>
  </tableColumns>
  <tableStyleInfo showFirstColumn="0" showLastColumn="0" showRowStripes="1" showColumnStripes="0"/>
</table>
</file>

<file path=xl/tables/table1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8CC7AEE8-1BD5-4CA8-A253-58DD9C37DA3A}" name="ResumoMódulo257_13520" displayName="ResumoMódulo257_13520" ref="A69:D73" totalsRowCount="1">
  <autoFilter ref="A69:D72" xr:uid="{8CC7AEE8-1BD5-4CA8-A253-58DD9C37DA3A}"/>
  <tableColumns count="4">
    <tableColumn id="1" xr3:uid="{ABCFF112-E01D-4537-BFBF-DEF3A9E17BF0}" name="2" totalsRowLabel="Total" dataDxfId="151"/>
    <tableColumn id="2" xr3:uid="{35FF3995-5755-4ED2-9097-90E435F46975}" name="Encargos e Benefícios Anuais, Mensais e Diários" dataDxfId="150"/>
    <tableColumn id="3" xr3:uid="{B65C44E6-DEB9-4471-B63A-4AB5D218389E}" name="Comentário" dataDxfId="149"/>
    <tableColumn id="4" xr3:uid="{60A13652-4D2C-488A-9250-28246147DCF7}" name="Valor" totalsRowFunction="custom">
      <calculatedColumnFormula>D64</calculatedColumnFormula>
      <totalsRowFormula>TRUNC((SUM(D70:D72)),2)</totalsRowFormula>
    </tableColumn>
  </tableColumns>
  <tableStyleInfo showFirstColumn="0" showLastColumn="0" showRowStripes="1" showColumnStripes="0"/>
</table>
</file>

<file path=xl/tables/table1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A2D6189-7C15-4D4E-84B7-4ECF584E1CBE}" name="ResumoMódulo461_13622" displayName="ResumoMódulo461_13622" ref="A107:D110" totalsRowCount="1">
  <autoFilter ref="A107:D109" xr:uid="{0A2D6189-7C15-4D4E-84B7-4ECF584E1CBE}"/>
  <tableColumns count="4">
    <tableColumn id="1" xr3:uid="{189E22A4-C9FB-41BA-9F0A-8BF8DFBD83FC}" name="4" totalsRowLabel="Total" dataDxfId="148"/>
    <tableColumn id="2" xr3:uid="{97CE17AC-9F95-4461-8D3C-AAE29E88B322}" name="Custo de Reposição do Profissional Ausente" dataDxfId="147"/>
    <tableColumn id="3" xr3:uid="{61E82540-B7F7-4258-A9DB-8496FA4366ED}" name="Comentário" totalsRowLabel="*Nota: Se o titular USUFRUIR do descanso intrajornada, o total é o somatório dos subitens 4.1 e 4.2" dataDxfId="146"/>
    <tableColumn id="4" xr3:uid="{78CB62FF-B88A-43F5-A009-5A7C1D4473AE}" name="Valor" totalsRowFunction="custom">
      <calculatedColumnFormula>Submódulo4.260_138[[#Totals],[Valor]]</calculatedColumnFormula>
      <totalsRowFormula>TRUNC((SUM(D108:D109)),2)</totalsRowFormula>
    </tableColumn>
  </tableColumns>
  <tableStyleInfo showFirstColumn="0" showLastColumn="0" showRowStripes="1" showColumnStripes="0"/>
</table>
</file>

<file path=xl/tables/table1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8BE63813-BA30-4BAA-81EC-E570CE0A4BA0}" name="Submódulo4.159_13724" displayName="Submódulo4.159_13724" ref="A92:D99" totalsRowCount="1">
  <autoFilter ref="A92:D98" xr:uid="{8BE63813-BA30-4BAA-81EC-E570CE0A4BA0}"/>
  <tableColumns count="4">
    <tableColumn id="1" xr3:uid="{860CABEF-1EA8-417A-B669-D8A0C80A3EFA}" name="4.1" totalsRowLabel="Total" dataDxfId="145"/>
    <tableColumn id="2" xr3:uid="{A091FCC6-79AF-45BD-98F5-977745EE5FE8}" name="Substituto nas Ausências Legais" dataDxfId="144"/>
    <tableColumn id="3" xr3:uid="{36C598C1-3FDD-4662-A1B1-A0005A009166}" name="Percentual" totalsRowFunction="sum" dataDxfId="143"/>
    <tableColumn id="4" xr3:uid="{E6CB42C6-DF96-4248-9E74-F5F3DB723807}" name="Valor" totalsRowFunction="custom">
      <calculatedColumnFormula>TRUNC($D$88*C93)</calculatedColumnFormula>
      <totalsRowFormula>TRUNC((SUM(D93:D98)),2)</totalsRowFormula>
    </tableColumn>
  </tableColumns>
  <tableStyleInfo showFirstColumn="0" showLastColumn="0" showRowStripes="1" showColumnStripes="0"/>
</table>
</file>

<file path=xl/tables/table1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276E5001-2C2F-43F4-AE3A-8B9B0F59FA78}" name="Submódulo4.260_13826" displayName="Submódulo4.260_13826" ref="A102:D104" totalsRowCount="1">
  <autoFilter ref="A102:D103" xr:uid="{276E5001-2C2F-43F4-AE3A-8B9B0F59FA78}"/>
  <tableColumns count="4">
    <tableColumn id="1" xr3:uid="{3E0CB610-72D6-44EA-802A-6B2D5323E59C}" name="4.2" totalsRowLabel="Total" dataDxfId="142"/>
    <tableColumn id="2" xr3:uid="{D28838D1-49F9-4F11-B42C-905F5569C78A}" name="Substituto na Intrajornada " dataDxfId="141"/>
    <tableColumn id="3" xr3:uid="{E891A7BA-609A-486A-94DC-91ABB0FE5189}" name="Comentário" dataDxfId="140"/>
    <tableColumn id="4" xr3:uid="{394300C0-9556-484B-9EA6-AE588B4D5084}" name="Valor" totalsRowFunction="custom">
      <totalsRowFormula>D103</totalsRowFormula>
    </tableColumn>
  </tableColumns>
  <tableStyleInfo showFirstColumn="0" showLastColumn="0" showRowStripes="1" showColumnStripes="0"/>
</table>
</file>

<file path=xl/tables/table1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D9E77E57-D373-47E0-8339-8AD1914DB7F8}" name="Table452_13928" displayName="Table452_13928" ref="A16:D21" totalsRowShown="0">
  <tableColumns count="4">
    <tableColumn id="1" xr3:uid="{045884C7-D5A8-482F-82D5-8D1DB839543B}" name="Item" dataDxfId="139"/>
    <tableColumn id="2" xr3:uid="{65E2842D-39CC-4B2B-8404-3DB3EA6A7D33}" name="Descrição" dataDxfId="138"/>
    <tableColumn id="3" xr3:uid="{E0BAE50F-C1C5-416D-BD4F-03B22E76843A}" name="Comentário" dataDxfId="137">
      <calculatedColumnFormula>C5</calculatedColumnFormula>
    </tableColumn>
    <tableColumn id="4" xr3:uid="{AFF30475-D4DC-4A61-B546-41233277AAFF}" name="Valor" dataDxfId="136"/>
  </tableColumns>
  <tableStyleInfo showFirstColumn="0" showLastColumn="0" showRowStripes="1" showColumnStripes="0"/>
</table>
</file>

<file path=xl/tables/table1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ACD395AA-A977-472F-8E2C-01786CC982C6}" name="Módulo358_14030" displayName="Módulo358_14030" ref="A76:D83" totalsRowCount="1">
  <autoFilter ref="A76:D82" xr:uid="{ACD395AA-A977-472F-8E2C-01786CC982C6}"/>
  <tableColumns count="4">
    <tableColumn id="1" xr3:uid="{E6548FF7-26FF-408A-92DE-2154C741ADB7}" name="3" totalsRowLabel="Total" dataDxfId="135"/>
    <tableColumn id="2" xr3:uid="{71CDD229-451A-4C13-8CB3-CFBE974B34AC}" name="Provisão para Rescisão" dataDxfId="134"/>
    <tableColumn id="3" xr3:uid="{9811442C-4345-43D4-880D-1AA6CFB14776}" name="Percentual" totalsRowFunction="custom">
      <calculatedColumnFormula>(0.08*0.4*0.98)</calculatedColumnFormula>
      <totalsRowFormula>SUM(C77:C82)</totalsRowFormula>
    </tableColumn>
    <tableColumn id="4" xr3:uid="{A6543D2C-85CA-4A06-AD2A-96F26BB91EFF}" name="Valor" totalsRowFunction="custom">
      <calculatedColumnFormula>TRUNC(($D$31*C77),2)</calculatedColumnFormula>
      <totalsRowFormula>TRUNC((SUM(D77:D82)),2)</totalsRowFormula>
    </tableColumn>
  </tableColumns>
  <tableStyleInfo showFirstColumn="0" showLastColumn="0" showRowStripes="1" showColumnStripes="0"/>
</table>
</file>

<file path=xl/tables/table1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6A7CB5E3-1960-4845-ADAE-A996E49174EF}" name="Módulo153_14131" displayName="Módulo153_14131" ref="A24:D31" totalsRowCount="1">
  <autoFilter ref="A24:D30" xr:uid="{6A7CB5E3-1960-4845-ADAE-A996E49174EF}"/>
  <tableColumns count="4">
    <tableColumn id="1" xr3:uid="{47E4A8B1-F4D2-4600-9D25-663DE1E3C4FE}" name="1" totalsRowLabel="Total" dataDxfId="133"/>
    <tableColumn id="2" xr3:uid="{E088BF60-2589-4DB7-A85D-F5089672F887}" name="Composição da Remuneração" dataDxfId="132"/>
    <tableColumn id="3" xr3:uid="{BA45DABD-4F1F-41BE-A0E5-B5F3C133A930}" name="Comentário" dataDxfId="131"/>
    <tableColumn id="4" xr3:uid="{C6F9F03C-7146-483C-9437-7F74A91D4AB2}" name="Valor" totalsRowFunction="custom">
      <totalsRowFormula>TRUNC((SUM(D25:D30)),2)</totalsRowFormula>
    </tableColumn>
  </tableColumns>
  <tableStyleInfo showFirstColumn="0" showLastColumn="0" showRowStripes="1" showColumnStripes="0"/>
</table>
</file>

<file path=xl/tables/table1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19B0A32E-F94D-4CE1-90E3-A36CE8C6D8E4}" name="Submódulo2.356_14232" displayName="Submódulo2.356_14232" ref="A58:D66" totalsRowCount="1">
  <autoFilter ref="A58:D65" xr:uid="{19B0A32E-F94D-4CE1-90E3-A36CE8C6D8E4}"/>
  <tableColumns count="4">
    <tableColumn id="1" xr3:uid="{D2C7C472-5B90-4722-A311-072C90A4CF11}" name="2.3" totalsRowLabel="Total" dataDxfId="130"/>
    <tableColumn id="2" xr3:uid="{53C84C45-C326-441F-85A1-9D6F7F9BF049}" name="Benefícios Mensais e Diários" dataDxfId="129"/>
    <tableColumn id="3" xr3:uid="{0D1274F0-DF97-4559-8D34-5A9EE24707DC}" name="Comentário" dataDxfId="128">
      <calculatedColumnFormula>C54</calculatedColumnFormula>
    </tableColumn>
    <tableColumn id="4" xr3:uid="{5FA5D46C-9351-44C2-B018-9A94996C85EA}" name="Valor" totalsRowFunction="custom">
      <totalsRowFormula>TRUNC((SUM(D59:D65)),2)</totalsRowFormula>
    </tableColumn>
  </tableColumns>
  <tableStyleInfo showFirstColumn="0" showLastColumn="0" showRowStripes="1" showColumnStripes="0"/>
</table>
</file>

<file path=xl/tables/table1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0" xr:uid="{DB2C8116-0F4D-4F16-ABD2-93F2D9AD20CA}" name="Submódulo2.255_13091" displayName="Submódulo2.255_13091" ref="A46:D55" totalsRowCount="1">
  <autoFilter ref="A46:D54" xr:uid="{DB2C8116-0F4D-4F16-ABD2-93F2D9AD20CA}"/>
  <tableColumns count="4">
    <tableColumn id="1" xr3:uid="{C65014AB-C28B-4EF8-9968-B05B1CA733E1}" name="2.2" totalsRowLabel="Total" dataDxfId="127" totalsRowDxfId="126"/>
    <tableColumn id="2" xr3:uid="{7F9B6CE9-9C27-45BA-84F4-42720DF02445}" name="GPS, FGTS e outras contribuições" dataDxfId="125"/>
    <tableColumn id="3" xr3:uid="{ADF16FFF-AAE0-47EA-8D56-65CD32F7919D}" name="Percentual" totalsRowFunction="custom" totalsRowDxfId="124">
      <totalsRowFormula>SUM(C47:C54)</totalsRowFormula>
    </tableColumn>
    <tableColumn id="4" xr3:uid="{4153A99F-90CB-4CBF-8D3E-38F58EE0EFE9}" name="Valor " totalsRowFunction="custom" totalsRowDxfId="123">
      <calculatedColumnFormula>TRUNC(($D$43*C47),2)</calculatedColumnFormula>
      <totalsRowFormula>TRUNC((SUM(D47:D54)),2)</totalsRowFormula>
    </tableColumn>
  </tableColumns>
  <tableStyleInfo showFirstColumn="0" showLastColumn="0" showRowStripes="1" showColumnStripes="0"/>
</table>
</file>

<file path=xl/tables/table1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1" xr:uid="{A279A6EA-8FD6-43B9-8C64-505035C833D7}" name="ResumoPosto64_13192" displayName="ResumoPosto64_13192" ref="A140:D148" totalsRowShown="0">
  <autoFilter ref="A140:D148" xr:uid="{A279A6EA-8FD6-43B9-8C64-505035C833D7}"/>
  <tableColumns count="4">
    <tableColumn id="1" xr3:uid="{4851CAFE-D9ED-4BB9-89C1-78D366851C5F}" name="Item" dataDxfId="122"/>
    <tableColumn id="2" xr3:uid="{47BD249E-97A6-42E7-BF49-FFCD49E26C2F}" name="Mão de obra vinculada à execução contratual" dataDxfId="121"/>
    <tableColumn id="3" xr3:uid="{436ABDBF-6C8E-4B20-B633-0E35C1A316DC}" name="-" dataDxfId="120"/>
    <tableColumn id="4" xr3:uid="{95CBB532-81C9-4F77-B62D-46EF171A3C60}" name="Valor" dataDxfId="119">
      <calculatedColumnFormula>TRUNC((SUM(D134:D138)+D140),2)</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C000000}" name="Submódulo2.3" displayName="Submódulo2.3" ref="A48:D53">
  <tableColumns count="4">
    <tableColumn id="1" xr3:uid="{00000000-0010-0000-0C00-000001000000}" name="2.3" totalsRowLabel="Total" dataDxfId="560"/>
    <tableColumn id="2" xr3:uid="{00000000-0010-0000-0C00-000002000000}" name="Benefícios Mensais e Diários" dataDxfId="559"/>
    <tableColumn id="3" xr3:uid="{00000000-0010-0000-0C00-000003000000}" name="Comentário" dataDxfId="558"/>
    <tableColumn id="4" xr3:uid="{00000000-0010-0000-0C00-000004000000}" name="Valor" dataDxfId="557"/>
  </tableColumns>
  <tableStyleInfo showFirstColumn="0" showLastColumn="0" showRowStripes="1" showColumnStripes="0"/>
</table>
</file>

<file path=xl/tables/table1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2" xr:uid="{92D89670-BB4D-48B8-92BB-3F45827DDF72}" name="Submódulo2.154_13293" displayName="Submódulo2.154_13293" ref="A36:D39" totalsRowCount="1">
  <autoFilter ref="A36:D38" xr:uid="{92D89670-BB4D-48B8-92BB-3F45827DDF72}"/>
  <tableColumns count="4">
    <tableColumn id="1" xr3:uid="{AAC3E15D-D957-4135-96E3-A439DD5D5EDF}" name="2.1" totalsRowLabel="Total" dataDxfId="118"/>
    <tableColumn id="2" xr3:uid="{A7EFCAB7-1274-4934-895A-323B08C100FA}" name="13º (décimo terceiro) Salário, Férias e Adicional de Férias" dataDxfId="117"/>
    <tableColumn id="3" xr3:uid="{88056CB0-42EC-4607-8A56-6F65D6F2AE03}" name="Percentual" dataDxfId="116">
      <calculatedColumnFormula>(((1+1/3)/12))</calculatedColumnFormula>
    </tableColumn>
    <tableColumn id="4" xr3:uid="{64A8913D-CA6D-46D5-BA9B-3AD34FBEA199}" name="Valor" totalsRowFunction="custom">
      <calculatedColumnFormula>TRUNC($D$31*C37,2)</calculatedColumnFormula>
      <totalsRowFormula>TRUNC((SUM(D37:D38)),2)</totalsRowFormula>
    </tableColumn>
  </tableColumns>
  <tableStyleInfo showFirstColumn="0" showLastColumn="0" showRowStripes="1" showColumnStripes="0"/>
</table>
</file>

<file path=xl/tables/table1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3" xr:uid="{333B61B0-3BE3-42EB-BAEE-031D007FAFBB}" name="Módulo562_13394" displayName="Módulo562_13394" ref="A113:D119" totalsRowCount="1">
  <autoFilter ref="A113:D118" xr:uid="{333B61B0-3BE3-42EB-BAEE-031D007FAFBB}"/>
  <tableColumns count="4">
    <tableColumn id="1" xr3:uid="{D287BDB3-A28D-4F8F-A6C3-AB1C01D0C5DA}" name="5" totalsRowLabel="Total" dataDxfId="115" totalsRowDxfId="114"/>
    <tableColumn id="2" xr3:uid="{8C63A9A1-BA34-406E-BB06-9C72518E6F67}" name="Insumos Diversos" dataDxfId="113"/>
    <tableColumn id="3" xr3:uid="{D71AFDC1-0584-45AD-9974-700407B7D3BA}" name="Comentário" dataDxfId="112"/>
    <tableColumn id="4" xr3:uid="{3C6FB99E-5E37-4CB3-B0F0-4D7F7AD28BB9}" name="Valor" totalsRowFunction="custom" totalsRowDxfId="111">
      <calculatedColumnFormula>J113</calculatedColumnFormula>
      <totalsRowFormula>TRUNC(SUM(D114:D118),2)</totalsRowFormula>
    </tableColumn>
  </tableColumns>
  <tableStyleInfo showFirstColumn="0" showLastColumn="0" showRowStripes="1" showColumnStripes="0"/>
</table>
</file>

<file path=xl/tables/table1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4" xr:uid="{55D6F917-6920-4D73-8D9B-319CA03A8BDD}" name="Módulo663_13495" displayName="Módulo663_13495" ref="A129:D136" totalsRowCount="1">
  <tableColumns count="4">
    <tableColumn id="1" xr3:uid="{4DB16560-26F0-4F4E-B2C2-D29A5147F334}" name="6" totalsRowLabel="Total" dataDxfId="110" totalsRowDxfId="109"/>
    <tableColumn id="2" xr3:uid="{ADCB35FA-32DA-474B-98DF-B41DB7FE71F0}" name="Custos Indiretos, Tributos e Lucro" dataDxfId="108"/>
    <tableColumn id="3" xr3:uid="{8D54AFF1-0F75-49C4-9D57-1721718161EE}" name="Percentual" dataDxfId="107" totalsRowDxfId="106"/>
    <tableColumn id="4" xr3:uid="{3F4B726D-5D31-4641-9FA3-B9E7896C1705}" name="Valor" totalsRowFunction="custom" totalsRowDxfId="105">
      <calculatedColumnFormula>TRUNC(($I$133*C130),2)</calculatedColumnFormula>
      <totalsRowFormula>TRUNC(SUM(D130:D132),2)</totalsRowFormula>
    </tableColumn>
  </tableColumns>
  <tableStyleInfo showFirstColumn="0" showLastColumn="0" showRowStripes="1" showColumnStripes="0"/>
</table>
</file>

<file path=xl/tables/table1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5" xr:uid="{8FD58F18-C652-40DD-A7EA-AC2759019CF3}" name="ResumoMódulo257_13596" displayName="ResumoMódulo257_13596" ref="A69:D73" totalsRowCount="1">
  <autoFilter ref="A69:D72" xr:uid="{8FD58F18-C652-40DD-A7EA-AC2759019CF3}"/>
  <tableColumns count="4">
    <tableColumn id="1" xr3:uid="{44344817-B638-478A-A8C5-E24A986279D4}" name="2" totalsRowLabel="Total" dataDxfId="104"/>
    <tableColumn id="2" xr3:uid="{5325601A-A071-4CFB-969F-80229C168991}" name="Encargos e Benefícios Anuais, Mensais e Diários" dataDxfId="103"/>
    <tableColumn id="3" xr3:uid="{BD364987-D081-4CCE-B970-0F293EBFAEAA}" name="Comentário" dataDxfId="102"/>
    <tableColumn id="4" xr3:uid="{A182C114-DF52-4834-9B09-E07F97B517FA}" name="Valor" totalsRowFunction="custom">
      <calculatedColumnFormula>D64</calculatedColumnFormula>
      <totalsRowFormula>TRUNC((SUM(D70:D72)),2)</totalsRowFormula>
    </tableColumn>
  </tableColumns>
  <tableStyleInfo showFirstColumn="0" showLastColumn="0" showRowStripes="1" showColumnStripes="0"/>
</table>
</file>

<file path=xl/tables/table1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6" xr:uid="{A866E58D-6922-4E3B-B23E-DBE981CF9235}" name="ResumoMódulo461_13697" displayName="ResumoMódulo461_13697" ref="A107:D110" totalsRowCount="1">
  <autoFilter ref="A107:D109" xr:uid="{A866E58D-6922-4E3B-B23E-DBE981CF9235}"/>
  <tableColumns count="4">
    <tableColumn id="1" xr3:uid="{644CC107-D304-4BCF-A501-BEBCA1D0A951}" name="4" totalsRowLabel="Total" dataDxfId="101"/>
    <tableColumn id="2" xr3:uid="{5F4256AA-356A-4917-9C1F-88803A54CC8E}" name="Custo de Reposição do Profissional Ausente" dataDxfId="100"/>
    <tableColumn id="3" xr3:uid="{ACA6936B-E7E2-4A9E-AEE0-403C07B9E638}" name="Comentário" totalsRowLabel="*Nota: Se o titular USUFRUIR do descanso intrajornada, o total é o somatório dos subitens 4.1 e 4.2" dataDxfId="99"/>
    <tableColumn id="4" xr3:uid="{7E88FEBE-FF05-4391-9D0A-D87F8E5F275F}" name="Valor" totalsRowFunction="custom">
      <calculatedColumnFormula>Submódulo4.260_138[[#Totals],[Valor]]</calculatedColumnFormula>
      <totalsRowFormula>TRUNC((SUM(D108:D109)),2)</totalsRowFormula>
    </tableColumn>
  </tableColumns>
  <tableStyleInfo showFirstColumn="0" showLastColumn="0" showRowStripes="1" showColumnStripes="0"/>
</table>
</file>

<file path=xl/tables/table1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7" xr:uid="{0BE3B8E2-47EA-49F0-95E1-914424BFBC96}" name="Submódulo4.159_13798" displayName="Submódulo4.159_13798" ref="A92:D99" totalsRowCount="1">
  <autoFilter ref="A92:D98" xr:uid="{0BE3B8E2-47EA-49F0-95E1-914424BFBC96}"/>
  <tableColumns count="4">
    <tableColumn id="1" xr3:uid="{BFD9F73A-9B98-4D10-9B6F-74C999814CE8}" name="4.1" totalsRowLabel="Total" dataDxfId="98"/>
    <tableColumn id="2" xr3:uid="{81BBD823-78D1-49E7-ABC9-1D0C2B82A577}" name="Substituto nas Ausências Legais" dataDxfId="97"/>
    <tableColumn id="3" xr3:uid="{9E2A5CA6-1E4E-4B85-87C0-E9E773869B1F}" name="Percentual" totalsRowFunction="sum" dataDxfId="96"/>
    <tableColumn id="4" xr3:uid="{B7E303BC-9028-4243-A7B0-D2D3D71DAF89}" name="Valor" totalsRowFunction="custom">
      <calculatedColumnFormula>TRUNC($D$88*C93)</calculatedColumnFormula>
      <totalsRowFormula>TRUNC((SUM(D93:D98)),2)</totalsRowFormula>
    </tableColumn>
  </tableColumns>
  <tableStyleInfo showFirstColumn="0" showLastColumn="0" showRowStripes="1" showColumnStripes="0"/>
</table>
</file>

<file path=xl/tables/table1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8" xr:uid="{CFABBEF5-97DF-4B25-8B0E-F3209B35956D}" name="Submódulo4.260_13899" displayName="Submódulo4.260_13899" ref="A102:D104" totalsRowCount="1">
  <autoFilter ref="A102:D103" xr:uid="{CFABBEF5-97DF-4B25-8B0E-F3209B35956D}"/>
  <tableColumns count="4">
    <tableColumn id="1" xr3:uid="{9F9478DE-FF88-439C-8C54-175D8FCC61BA}" name="4.2" totalsRowLabel="Total" dataDxfId="95"/>
    <tableColumn id="2" xr3:uid="{43C43D69-E697-489F-966F-E60EF3E2CAE4}" name="Substituto na Intrajornada " dataDxfId="94"/>
    <tableColumn id="3" xr3:uid="{2EDBF4DD-C394-4A9E-993F-975DF0841855}" name="Comentário" dataDxfId="93"/>
    <tableColumn id="4" xr3:uid="{A48FE18D-99C2-49EB-A386-60587E00221A}" name="Valor" totalsRowFunction="custom">
      <totalsRowFormula>D103</totalsRowFormula>
    </tableColumn>
  </tableColumns>
  <tableStyleInfo showFirstColumn="0" showLastColumn="0" showRowStripes="1" showColumnStripes="0"/>
</table>
</file>

<file path=xl/tables/table1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B33A9DAB-44F4-46BD-8CA0-179B50B0ECB5}" name="Table452_139100" displayName="Table452_139100" ref="A16:D21" totalsRowShown="0">
  <tableColumns count="4">
    <tableColumn id="1" xr3:uid="{92DECE57-E607-4BD3-BF1C-D7AB3C8BDBEC}" name="Item" dataDxfId="92"/>
    <tableColumn id="2" xr3:uid="{A5788508-12D5-4DD2-AFFB-886797F9227C}" name="Descrição" dataDxfId="91"/>
    <tableColumn id="3" xr3:uid="{DF41D8C4-9A1B-4FD5-B371-DD13E289DCA6}" name="Comentário" dataDxfId="90">
      <calculatedColumnFormula>C5</calculatedColumnFormula>
    </tableColumn>
    <tableColumn id="4" xr3:uid="{46A901F3-BE2D-4C97-B577-852C4D27AE28}" name="Valor" dataDxfId="89"/>
  </tableColumns>
  <tableStyleInfo showFirstColumn="0" showLastColumn="0" showRowStripes="1" showColumnStripes="0"/>
</table>
</file>

<file path=xl/tables/table1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0" xr:uid="{32520F27-A9C6-4549-9B6D-6836ADB44530}" name="Módulo358_140101" displayName="Módulo358_140101" ref="A76:D83" totalsRowCount="1">
  <autoFilter ref="A76:D82" xr:uid="{32520F27-A9C6-4549-9B6D-6836ADB44530}"/>
  <tableColumns count="4">
    <tableColumn id="1" xr3:uid="{AB0E5D29-DBB7-461F-BF09-13C8F5367C1A}" name="3" totalsRowLabel="Total" dataDxfId="88"/>
    <tableColumn id="2" xr3:uid="{2B80E70F-A8DD-4E2E-AF12-140C5F0828F2}" name="Provisão para Rescisão" dataDxfId="87"/>
    <tableColumn id="3" xr3:uid="{7B951B2B-937D-4E9B-ACFD-9836137DFEA5}" name="Percentual" totalsRowFunction="custom">
      <calculatedColumnFormula>(0.08*0.4*0.98)</calculatedColumnFormula>
      <totalsRowFormula>SUM(C77:C82)</totalsRowFormula>
    </tableColumn>
    <tableColumn id="4" xr3:uid="{36C8F52D-4E85-4BA2-BC18-C3AB96122299}" name="Valor" totalsRowFunction="custom">
      <calculatedColumnFormula>TRUNC(($D$31*C77),2)</calculatedColumnFormula>
      <totalsRowFormula>TRUNC((SUM(D77:D82)),2)</totalsRowFormula>
    </tableColumn>
  </tableColumns>
  <tableStyleInfo showFirstColumn="0" showLastColumn="0" showRowStripes="1" showColumnStripes="0"/>
</table>
</file>

<file path=xl/tables/table1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1" xr:uid="{31DB6519-651E-4E47-B846-1A19FC8757ED}" name="Módulo153_141102" displayName="Módulo153_141102" ref="A24:D31" totalsRowCount="1">
  <autoFilter ref="A24:D30" xr:uid="{31DB6519-651E-4E47-B846-1A19FC8757ED}"/>
  <tableColumns count="4">
    <tableColumn id="1" xr3:uid="{EE6C4AF8-4B97-4FA8-88EE-2798496567D2}" name="1" totalsRowLabel="Total" dataDxfId="86"/>
    <tableColumn id="2" xr3:uid="{BA5C559C-1E7E-4333-9A71-E8FC89C0814A}" name="Composição da Remuneração" dataDxfId="85"/>
    <tableColumn id="3" xr3:uid="{153E91A3-0336-4C4B-909B-72CFA06A8C8C}" name="Comentário" dataDxfId="84"/>
    <tableColumn id="4" xr3:uid="{B9BBB992-BF2E-4CA7-9A4F-54545D69179F}" name="Valor" totalsRowFunction="custom">
      <totalsRowFormula>TRUNC((SUM(D25:D30)),2)</totalsRow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D000000}" name="Submódulo4.1" displayName="Submódulo4.1" ref="A88:D95">
  <tableColumns count="4">
    <tableColumn id="1" xr3:uid="{00000000-0010-0000-0D00-000001000000}" name="4.1" totalsRowLabel="Total" dataDxfId="556"/>
    <tableColumn id="2" xr3:uid="{00000000-0010-0000-0D00-000002000000}" name="Substituto nas Ausências Legais" dataDxfId="555"/>
    <tableColumn id="3" xr3:uid="{00000000-0010-0000-0D00-000003000000}" name="Dias de ausência" dataDxfId="554">
      <calculatedColumnFormula>SUBTOTAL(109,Submódulo4.1[Dias de ausência])</calculatedColumnFormula>
    </tableColumn>
    <tableColumn id="4" xr3:uid="{00000000-0010-0000-0D00-000004000000}" name="Valor" dataDxfId="553">
      <calculatedColumnFormula>SUBTOTAL(109,Submódulo4.1[Valor])</calculatedColumnFormula>
    </tableColumn>
  </tableColumns>
  <tableStyleInfo showFirstColumn="0" showLastColumn="0" showRowStripes="1" showColumnStripes="0"/>
</table>
</file>

<file path=xl/tables/table1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2" xr:uid="{0A5A325B-F6A9-4FB5-BE84-7B8FD2E58BD3}" name="Submódulo2.356_142103" displayName="Submódulo2.356_142103" ref="A58:D66" totalsRowCount="1">
  <autoFilter ref="A58:D65" xr:uid="{0A5A325B-F6A9-4FB5-BE84-7B8FD2E58BD3}"/>
  <tableColumns count="4">
    <tableColumn id="1" xr3:uid="{7960C3BD-7CF8-4ACB-940F-A64022D0A419}" name="2.3" totalsRowLabel="Total" dataDxfId="83"/>
    <tableColumn id="2" xr3:uid="{6FB49026-EFF3-4E95-85BD-185E568AB2D6}" name="Benefícios Mensais e Diários" dataDxfId="82"/>
    <tableColumn id="3" xr3:uid="{D1DFC535-2B39-493E-9900-E9A964D12773}" name="Comentário" dataDxfId="81">
      <calculatedColumnFormula>C54</calculatedColumnFormula>
    </tableColumn>
    <tableColumn id="4" xr3:uid="{DDFB1345-8C11-4029-B829-F512FD8AE522}" name="Valor" totalsRowFunction="custom">
      <totalsRowFormula>TRUNC((SUM(D59:D65)),2)</totalsRowFormula>
    </tableColumn>
  </tableColumns>
  <tableStyleInfo showFirstColumn="0" showLastColumn="0" showRowStripes="1" showColumnStripes="0"/>
</table>
</file>

<file path=xl/tables/table1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3" xr:uid="{8E8EF910-DECE-4510-B444-81B59B4C0E20}" name="Submódulo2.255_130144" displayName="Submódulo2.255_130144" ref="A46:D55" totalsRowCount="1">
  <autoFilter ref="A46:D54" xr:uid="{8E8EF910-DECE-4510-B444-81B59B4C0E20}"/>
  <tableColumns count="4">
    <tableColumn id="1" xr3:uid="{DB8694A6-8528-42A8-8856-3FDB6C189C22}" name="2.2" totalsRowLabel="Total" dataDxfId="80" totalsRowDxfId="79"/>
    <tableColumn id="2" xr3:uid="{499EF46E-E1EA-4B77-8808-FACEE5D52FC2}" name="GPS, FGTS e outras contribuições" dataDxfId="78"/>
    <tableColumn id="3" xr3:uid="{E821A920-10A2-43E1-9A7A-BCFC7091A010}" name="Percentual" totalsRowFunction="custom" totalsRowDxfId="77">
      <totalsRowFormula>SUM(C47:C54)</totalsRowFormula>
    </tableColumn>
    <tableColumn id="4" xr3:uid="{6CE63A99-4E82-4A93-B2B1-FA8007D15847}" name="Valor " totalsRowFunction="custom" totalsRowDxfId="76">
      <calculatedColumnFormula>TRUNC(($D$43*C47),2)</calculatedColumnFormula>
      <totalsRowFormula>TRUNC((SUM(D47:D54)),2)</totalsRowFormula>
    </tableColumn>
  </tableColumns>
  <tableStyleInfo showFirstColumn="0" showLastColumn="0" showRowStripes="1" showColumnStripes="0"/>
</table>
</file>

<file path=xl/tables/table1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4" xr:uid="{3E02CEC9-6737-4BC2-9450-19AAF6F4C625}" name="ResumoPosto64_131145" displayName="ResumoPosto64_131145" ref="A140:D148" totalsRowShown="0">
  <autoFilter ref="A140:D148" xr:uid="{3E02CEC9-6737-4BC2-9450-19AAF6F4C625}"/>
  <tableColumns count="4">
    <tableColumn id="1" xr3:uid="{873A516F-B988-4BC9-AF6E-811C723DBAFB}" name="Item" dataDxfId="75"/>
    <tableColumn id="2" xr3:uid="{EC4B865B-94F1-4072-9348-569E33A3E740}" name="Mão de obra vinculada à execução contratual" dataDxfId="74"/>
    <tableColumn id="3" xr3:uid="{35204A2C-8812-4D89-A0DC-511FCE799DFF}" name="-" dataDxfId="73"/>
    <tableColumn id="4" xr3:uid="{23C97BD0-89F1-4313-ADF4-A72C21783579}" name="Valor" dataDxfId="72">
      <calculatedColumnFormula>TRUNC((SUM(D134:D138)+D140),2)</calculatedColumnFormula>
    </tableColumn>
  </tableColumns>
  <tableStyleInfo showFirstColumn="0" showLastColumn="0" showRowStripes="1" showColumnStripes="0"/>
</table>
</file>

<file path=xl/tables/table1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5" xr:uid="{AC604F1D-F4C8-4218-B791-6123B48E5F02}" name="Submódulo2.154_132146" displayName="Submódulo2.154_132146" ref="A36:D39" totalsRowCount="1">
  <autoFilter ref="A36:D38" xr:uid="{AC604F1D-F4C8-4218-B791-6123B48E5F02}"/>
  <tableColumns count="4">
    <tableColumn id="1" xr3:uid="{D2F18E76-64E6-44B9-8974-E3B6141C01AE}" name="2.1" totalsRowLabel="Total" dataDxfId="71"/>
    <tableColumn id="2" xr3:uid="{8A6E6DCA-12C4-42ED-8035-8198843B1BFB}" name="13º (décimo terceiro) Salário, Férias e Adicional de Férias" dataDxfId="70"/>
    <tableColumn id="3" xr3:uid="{9EEBE86C-2F4B-4E08-B173-7C8F8C0DA758}" name="Percentual" dataDxfId="69">
      <calculatedColumnFormula>(((1+1/3)/12))</calculatedColumnFormula>
    </tableColumn>
    <tableColumn id="4" xr3:uid="{AED1E28A-09F7-4022-BD26-6805AD97B90D}" name="Valor" totalsRowFunction="custom">
      <calculatedColumnFormula>TRUNC($D$31*C37,2)</calculatedColumnFormula>
      <totalsRowFormula>TRUNC((SUM(D37:D38)),2)</totalsRowFormula>
    </tableColumn>
  </tableColumns>
  <tableStyleInfo showFirstColumn="0" showLastColumn="0" showRowStripes="1" showColumnStripes="0"/>
</table>
</file>

<file path=xl/tables/table1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6" xr:uid="{EDB1DF9D-F60D-4BB8-8B66-9BD622BE9016}" name="Módulo562_133147" displayName="Módulo562_133147" ref="A113:D119" totalsRowCount="1">
  <autoFilter ref="A113:D118" xr:uid="{EDB1DF9D-F60D-4BB8-8B66-9BD622BE9016}"/>
  <tableColumns count="4">
    <tableColumn id="1" xr3:uid="{A89FA1D6-F901-497A-9980-75628299ABCD}" name="5" totalsRowLabel="Total" dataDxfId="68" totalsRowDxfId="67"/>
    <tableColumn id="2" xr3:uid="{DF72619E-4112-4D8D-AEA8-6FA177E3DF91}" name="Insumos Diversos" dataDxfId="66"/>
    <tableColumn id="3" xr3:uid="{24EF0CA1-23D9-40DA-ACCD-9C2500AB5DA4}" name="Comentário" dataDxfId="65"/>
    <tableColumn id="4" xr3:uid="{307D4F55-5031-490F-90F0-E496CC5050F9}" name="Valor" totalsRowFunction="custom" totalsRowDxfId="64">
      <calculatedColumnFormula>J113</calculatedColumnFormula>
      <totalsRowFormula>SUM(D114:D118)</totalsRowFormula>
    </tableColumn>
  </tableColumns>
  <tableStyleInfo showFirstColumn="0" showLastColumn="0" showRowStripes="1" showColumnStripes="0"/>
</table>
</file>

<file path=xl/tables/table1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7" xr:uid="{E9614CD7-6B4E-4C24-BB2D-04A65FE151A3}" name="Módulo663_134148" displayName="Módulo663_134148" ref="A129:D136" totalsRowCount="1">
  <tableColumns count="4">
    <tableColumn id="1" xr3:uid="{7193BD32-C490-40BE-A1E1-EA33C03F20CF}" name="6" totalsRowLabel="Total" dataDxfId="63" totalsRowDxfId="62"/>
    <tableColumn id="2" xr3:uid="{A58CA6EF-034C-4465-BE8F-E246BCC40EBA}" name="Custos Indiretos, Tributos e Lucro" dataDxfId="61"/>
    <tableColumn id="3" xr3:uid="{04CD5E1D-17F4-4D9F-B2E1-21EAD60E6216}" name="Percentual" dataDxfId="60" totalsRowDxfId="59"/>
    <tableColumn id="4" xr3:uid="{6C323BA8-7267-4B52-9598-F06D7C415B8C}" name="Valor" totalsRowFunction="custom" totalsRowDxfId="58">
      <calculatedColumnFormula>TRUNC(($I$133*C130),2)</calculatedColumnFormula>
      <totalsRowFormula>TRUNC(SUM(D130:D132),2)</totalsRowFormula>
    </tableColumn>
  </tableColumns>
  <tableStyleInfo showFirstColumn="0" showLastColumn="0" showRowStripes="1" showColumnStripes="0"/>
</table>
</file>

<file path=xl/tables/table1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8" xr:uid="{CA6075FE-89AC-448E-9151-38B785405024}" name="ResumoMódulo257_135149" displayName="ResumoMódulo257_135149" ref="A69:D73" totalsRowCount="1">
  <autoFilter ref="A69:D72" xr:uid="{CA6075FE-89AC-448E-9151-38B785405024}"/>
  <tableColumns count="4">
    <tableColumn id="1" xr3:uid="{6FEDCC34-0175-4CA6-8DC1-03B8C374EB90}" name="2" totalsRowLabel="Total" dataDxfId="57"/>
    <tableColumn id="2" xr3:uid="{E35811E4-23DD-40E7-AAD8-9EE82BD72D89}" name="Encargos e Benefícios Anuais, Mensais e Diários" dataDxfId="56"/>
    <tableColumn id="3" xr3:uid="{A74FF28B-568C-4B46-B4D8-ED1BF1C1AF8D}" name="Comentário" dataDxfId="55"/>
    <tableColumn id="4" xr3:uid="{6FE0B602-984E-46DA-8879-E61F39FD31C2}" name="Valor" totalsRowFunction="custom">
      <calculatedColumnFormula>D64</calculatedColumnFormula>
      <totalsRowFormula>TRUNC((SUM(D70:D72)),2)</totalsRowFormula>
    </tableColumn>
  </tableColumns>
  <tableStyleInfo showFirstColumn="0" showLastColumn="0" showRowStripes="1" showColumnStripes="0"/>
</table>
</file>

<file path=xl/tables/table1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9" xr:uid="{8BA1AC74-6CC9-42F0-BD70-08C96C3CBD01}" name="ResumoMódulo461_136150" displayName="ResumoMódulo461_136150" ref="A107:D110" totalsRowCount="1">
  <autoFilter ref="A107:D109" xr:uid="{8BA1AC74-6CC9-42F0-BD70-08C96C3CBD01}"/>
  <tableColumns count="4">
    <tableColumn id="1" xr3:uid="{A77F1813-F754-40A6-8650-248D0F883C2E}" name="4" totalsRowLabel="Total" dataDxfId="54"/>
    <tableColumn id="2" xr3:uid="{DB85FF8E-45A8-4DB3-94A2-0E7D1586876D}" name="Custo de Reposição do Profissional Ausente" dataDxfId="53"/>
    <tableColumn id="3" xr3:uid="{7405AE49-0786-48CB-B4DF-D4491EE32052}" name="Comentário" totalsRowLabel="*Nota: Se o titular USUFRUIR do descanso intrajornada, o total é o somatório dos subitens 4.1 e 4.2" dataDxfId="52"/>
    <tableColumn id="4" xr3:uid="{EF88191F-DC81-48F1-9FDE-FF300997AA6B}" name="Valor" totalsRowFunction="custom">
      <calculatedColumnFormula>Submódulo4.260_138[[#Totals],[Valor]]</calculatedColumnFormula>
      <totalsRowFormula>TRUNC((SUM(D108:D109)),2)</totalsRowFormula>
    </tableColumn>
  </tableColumns>
  <tableStyleInfo showFirstColumn="0" showLastColumn="0" showRowStripes="1" showColumnStripes="0"/>
</table>
</file>

<file path=xl/tables/table1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0" xr:uid="{3AF240DE-88EA-4174-8ADF-214B14074C8E}" name="Submódulo4.159_137151" displayName="Submódulo4.159_137151" ref="A92:D99" totalsRowCount="1">
  <autoFilter ref="A92:D98" xr:uid="{3AF240DE-88EA-4174-8ADF-214B14074C8E}"/>
  <tableColumns count="4">
    <tableColumn id="1" xr3:uid="{B00FDE65-F708-4C28-AB96-9221FA752965}" name="4.1" totalsRowLabel="Total" dataDxfId="51"/>
    <tableColumn id="2" xr3:uid="{750CF53A-2030-4DF5-B6F1-4DA56A1DFC8E}" name="Substituto nas Ausências Legais" dataDxfId="50"/>
    <tableColumn id="3" xr3:uid="{FBD6B14E-38C5-426B-A686-EC9363AEF2A1}" name="Percentual" totalsRowFunction="sum" dataDxfId="49"/>
    <tableColumn id="4" xr3:uid="{F9E62412-30C9-4298-B505-699DD812917A}" name="Valor" totalsRowFunction="custom">
      <calculatedColumnFormula>TRUNC($D$88*C93)</calculatedColumnFormula>
      <totalsRowFormula>TRUNC((SUM(D93:D98)),2)</totalsRowFormula>
    </tableColumn>
  </tableColumns>
  <tableStyleInfo showFirstColumn="0" showLastColumn="0" showRowStripes="1" showColumnStripes="0"/>
</table>
</file>

<file path=xl/tables/table1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1" xr:uid="{B91C1ECE-D05C-4149-84A9-96E00448138C}" name="Submódulo4.260_138152" displayName="Submódulo4.260_138152" ref="A102:D104" totalsRowCount="1">
  <autoFilter ref="A102:D103" xr:uid="{B91C1ECE-D05C-4149-84A9-96E00448138C}"/>
  <tableColumns count="4">
    <tableColumn id="1" xr3:uid="{2C51C5E4-D2F3-446F-A5D7-160CFD410E8B}" name="4.2" totalsRowLabel="Total" dataDxfId="48"/>
    <tableColumn id="2" xr3:uid="{D446B192-B141-450B-980F-F592129FFC86}" name="Substituto na Intrajornada " dataDxfId="47"/>
    <tableColumn id="3" xr3:uid="{31347856-68D3-4631-B412-F4E1FC2EC713}" name="Comentário" dataDxfId="46"/>
    <tableColumn id="4" xr3:uid="{AA90185C-D401-49B3-98BE-FB7C2A94FA06}" name="Valor" totalsRowFunction="custom">
      <totalsRowFormula>D103</totalsRow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0E000000}" name="Submódulo4.2" displayName="Submódulo4.2" ref="A103:D105">
  <tableColumns count="4">
    <tableColumn id="1" xr3:uid="{00000000-0010-0000-0E00-000001000000}" name="4.2" totalsRowLabel="Total" dataDxfId="552"/>
    <tableColumn id="2" xr3:uid="{00000000-0010-0000-0E00-000002000000}" name="Substituto na Intrajornada " dataDxfId="551"/>
    <tableColumn id="3" xr3:uid="{00000000-0010-0000-0E00-000003000000}" name="Comentário" dataDxfId="550"/>
    <tableColumn id="4" xr3:uid="{00000000-0010-0000-0E00-000004000000}" name="Valor" dataDxfId="549">
      <calculatedColumnFormula>SUBTOTAL(109,Submódulo4.2[Valor])</calculatedColumnFormula>
    </tableColumn>
  </tableColumns>
  <tableStyleInfo showFirstColumn="0" showLastColumn="0" showRowStripes="1" showColumnStripes="0"/>
</table>
</file>

<file path=xl/tables/table1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2" xr:uid="{E2FFF74D-904E-489F-AF59-134EE277168D}" name="Table452_139153" displayName="Table452_139153" ref="A16:D21" totalsRowShown="0">
  <tableColumns count="4">
    <tableColumn id="1" xr3:uid="{D5129357-3C5A-41F1-8209-3FD8187D47A5}" name="Item" dataDxfId="45"/>
    <tableColumn id="2" xr3:uid="{F94504A7-05C5-4EFA-8548-154FE732B153}" name="Descrição" dataDxfId="44"/>
    <tableColumn id="3" xr3:uid="{3ED58758-CEA7-4406-B328-7552AFE7A075}" name="Comentário" dataDxfId="43">
      <calculatedColumnFormula>C5</calculatedColumnFormula>
    </tableColumn>
    <tableColumn id="4" xr3:uid="{118CDD3A-D210-4E4A-8153-F7579BE4F155}" name="Valor" dataDxfId="42"/>
  </tableColumns>
  <tableStyleInfo showFirstColumn="0" showLastColumn="0" showRowStripes="1" showColumnStripes="0"/>
</table>
</file>

<file path=xl/tables/table1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3" xr:uid="{980DD6AC-DFF0-445A-9EC7-0D3C2901BE49}" name="Módulo358_140154" displayName="Módulo358_140154" ref="A76:D83" totalsRowCount="1">
  <autoFilter ref="A76:D82" xr:uid="{980DD6AC-DFF0-445A-9EC7-0D3C2901BE49}"/>
  <tableColumns count="4">
    <tableColumn id="1" xr3:uid="{663315AB-59F5-4689-AC2E-724975717508}" name="3" totalsRowLabel="Total" dataDxfId="41"/>
    <tableColumn id="2" xr3:uid="{52B46BA2-617D-4566-9DAF-83A684761B6A}" name="Provisão para Rescisão" dataDxfId="40"/>
    <tableColumn id="3" xr3:uid="{382D78E1-A5AD-433A-BFF1-98BE195C89CF}" name="Percentual" totalsRowFunction="custom">
      <calculatedColumnFormula>(0.08*0.4*0.98)</calculatedColumnFormula>
      <totalsRowFormula>SUM(C77:C82)</totalsRowFormula>
    </tableColumn>
    <tableColumn id="4" xr3:uid="{4922CD12-F0D1-4885-9C60-7BB469D44A9A}" name="Valor" totalsRowFunction="custom">
      <calculatedColumnFormula>TRUNC(($D$31*C77),2)</calculatedColumnFormula>
      <totalsRowFormula>TRUNC((SUM(D77:D82)),2)</totalsRowFormula>
    </tableColumn>
  </tableColumns>
  <tableStyleInfo showFirstColumn="0" showLastColumn="0" showRowStripes="1" showColumnStripes="0"/>
</table>
</file>

<file path=xl/tables/table1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4" xr:uid="{8843DDF1-8904-4AD1-9032-7B75E29A7EE3}" name="Módulo153_141155" displayName="Módulo153_141155" ref="A24:D31" totalsRowCount="1">
  <autoFilter ref="A24:D30" xr:uid="{8843DDF1-8904-4AD1-9032-7B75E29A7EE3}"/>
  <tableColumns count="4">
    <tableColumn id="1" xr3:uid="{735B55B0-40D0-48E8-826E-60D577B2E50E}" name="1" totalsRowLabel="Total" dataDxfId="39"/>
    <tableColumn id="2" xr3:uid="{9C2662C4-BB46-4B89-9DBD-C3C5A73E1915}" name="Composição da Remuneração" dataDxfId="38"/>
    <tableColumn id="3" xr3:uid="{08C39DAA-0A2B-4881-B9B8-D93CC1F568CF}" name="Comentário" dataDxfId="37"/>
    <tableColumn id="4" xr3:uid="{2AAF68E8-11B8-421B-8266-502DE39CE8FB}" name="Valor" totalsRowFunction="custom">
      <totalsRowFormula>TRUNC((SUM(D25:D30)),2)</totalsRowFormula>
    </tableColumn>
  </tableColumns>
  <tableStyleInfo showFirstColumn="0" showLastColumn="0" showRowStripes="1" showColumnStripes="0"/>
</table>
</file>

<file path=xl/tables/table1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5" xr:uid="{29BA3146-AA3B-429B-A4B1-715F290DD366}" name="Submódulo2.356_142156" displayName="Submódulo2.356_142156" ref="A58:D66" totalsRowCount="1">
  <autoFilter ref="A58:D65" xr:uid="{29BA3146-AA3B-429B-A4B1-715F290DD366}"/>
  <tableColumns count="4">
    <tableColumn id="1" xr3:uid="{34B7E795-BDB9-4828-9B6A-0E4E9B7FB7C9}" name="2.3" totalsRowLabel="Total" dataDxfId="36"/>
    <tableColumn id="2" xr3:uid="{BB8829EF-F197-40C5-BDD6-59E9A93D7D06}" name="Benefícios Mensais e Diários" dataDxfId="35"/>
    <tableColumn id="3" xr3:uid="{8CEE823E-474C-4732-9406-38E72C94D5E7}" name="Comentário" dataDxfId="34">
      <calculatedColumnFormula>C54</calculatedColumnFormula>
    </tableColumn>
    <tableColumn id="4" xr3:uid="{94822BBB-913C-4486-8147-FFA0E4B16185}" name="Valor" totalsRowFunction="custom">
      <totalsRowFormula>TRUNC((SUM(D59:D65)),2)</totalsRowFormula>
    </tableColumn>
  </tableColumns>
  <tableStyleInfo showFirstColumn="0" showLastColumn="0" showRowStripes="1" showColumnStripes="0"/>
</table>
</file>

<file path=xl/tables/table1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2" xr:uid="{00000000-000C-0000-FFFF-FFFF71000000}" name="Table43_143" displayName="Table43_143" ref="A3:H14" headerRowDxfId="33" dataDxfId="31" totalsRowDxfId="30" headerRowBorderDxfId="32">
  <autoFilter ref="A3:H14" xr:uid="{00000000-0009-0000-0100-00008E000000}"/>
  <tableColumns count="8">
    <tableColumn id="1" xr3:uid="{00000000-0010-0000-7100-000001000000}" name="ITEM" totalsRowLabel="Total" dataDxfId="29"/>
    <tableColumn id="2" xr3:uid="{00000000-0010-0000-7100-000002000000}" name="PEÇA" dataDxfId="28"/>
    <tableColumn id="3" xr3:uid="{00000000-0010-0000-7100-000003000000}" name="DESCRIÇÃO" dataDxfId="27"/>
    <tableColumn id="4" xr3:uid="{00000000-0010-0000-7100-000004000000}" name="UNIDADE" dataDxfId="26"/>
    <tableColumn id="5" xr3:uid="{00000000-0010-0000-7100-000005000000}" name="VALOR MÉDIO UNITÁRIO (R$)" dataDxfId="0"/>
    <tableColumn id="6" xr3:uid="{00000000-0010-0000-7100-000006000000}" name="QUANTIDADE ANUAL" dataDxfId="25"/>
    <tableColumn id="7" xr3:uid="{00000000-0010-0000-7100-000007000000}" name="VALOR ANUAL POR EMPREGADO (R$)" dataDxfId="24">
      <calculatedColumnFormula>TRUNC(F4*E4,2)</calculatedColumnFormula>
    </tableColumn>
    <tableColumn id="8" xr3:uid="{00000000-0010-0000-7100-000008000000}" name="VALOR MENSAL POR EMPREGADO (R$)" totalsRowFunction="sum" dataDxfId="23">
      <calculatedColumnFormula>TRUNC(G4/12,2)</calculatedColumnFormula>
    </tableColumn>
  </tableColumns>
  <tableStyleInfo showFirstColumn="0" showLastColumn="0" showRowStripes="1" showColumnStripes="0"/>
</table>
</file>

<file path=xl/tables/table1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7" xr:uid="{40E89A64-F506-4B43-872B-0AE78EC4E89E}" name="Table43_143158" displayName="Table43_143158" ref="A127:H133" headerRowDxfId="22" dataDxfId="21" totalsRowDxfId="20">
  <autoFilter ref="A127:H133" xr:uid="{40E89A64-F506-4B43-872B-0AE78EC4E89E}"/>
  <tableColumns count="8">
    <tableColumn id="1" xr3:uid="{BA409439-BBB4-4074-8F2B-E0EBF98C7B2E}" name="ITEM" totalsRowLabel="Total" dataDxfId="19"/>
    <tableColumn id="2" xr3:uid="{EB1F5628-FF79-4ADD-A4A8-BD94641A307B}" name="PEÇA" dataDxfId="18"/>
    <tableColumn id="3" xr3:uid="{76913613-B6EF-414B-A3C1-44B3919C0FA3}" name="DESCRIÇÃO" dataDxfId="17"/>
    <tableColumn id="4" xr3:uid="{873EDADC-39C4-40B7-8755-C5DFF66268BB}" name="UNIDADE" dataDxfId="16"/>
    <tableColumn id="5" xr3:uid="{03BD51A2-1F4C-4314-B479-9DAD45F2D74E}" name="VALOR MÉDIO UNITÁRIO (R$)" dataDxfId="15"/>
    <tableColumn id="6" xr3:uid="{0882B75D-024E-4019-B469-A8C46F44F874}" name="QUANTIDADE ANUAL" dataDxfId="14"/>
    <tableColumn id="7" xr3:uid="{DE5BD9C8-4607-423D-9910-EB70A94C44FB}" name="VALOR ANUAL POR EMPREGADO (R$)" dataDxfId="13">
      <calculatedColumnFormula>TRUNC(F128*E128,2)</calculatedColumnFormula>
    </tableColumn>
    <tableColumn id="8" xr3:uid="{31DE4335-F4D9-4714-AFA7-52EEFB791CBA}" name="VALOR MENSAL POR EMPREGADO (R$)" totalsRowFunction="sum" dataDxfId="12">
      <calculatedColumnFormula>TRUNC(G128/12,2)</calculatedColumnFormula>
    </tableColumn>
  </tableColumns>
  <tableStyleInfo showFirstColumn="0" showLastColumn="0" showRowStripes="1" showColumnStripes="0"/>
</table>
</file>

<file path=xl/tables/table1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8" xr:uid="{1DE8AF3B-198B-4487-BD0F-9B6AEF00238F}" name="Table43_143158159" displayName="Table43_143158159" ref="A139:H146" headerRowDxfId="11" dataDxfId="10" totalsRowDxfId="9">
  <autoFilter ref="A139:H146" xr:uid="{1DE8AF3B-198B-4487-BD0F-9B6AEF00238F}"/>
  <tableColumns count="8">
    <tableColumn id="1" xr3:uid="{64353D6F-F21E-4A2D-95D9-CF7D39CEFF7C}" name="ITEM" totalsRowLabel="Total" dataDxfId="8"/>
    <tableColumn id="2" xr3:uid="{39976DF7-FFDC-4832-95EF-08FE3A4CFDD5}" name="PEÇA" dataDxfId="7"/>
    <tableColumn id="3" xr3:uid="{AFBFE761-169F-4439-93E2-5A28AA03A431}" name="DESCRIÇÃO" dataDxfId="6"/>
    <tableColumn id="4" xr3:uid="{8A69E59D-EC91-4996-A968-B98198C685B7}" name="UNIDADE" dataDxfId="5"/>
    <tableColumn id="5" xr3:uid="{49DA3588-6093-49A9-9A5D-2C508DA836FF}" name="VALOR MÉDIO UNITÁRIO (R$)" dataDxfId="4"/>
    <tableColumn id="6" xr3:uid="{5149A0F1-06A7-4E59-81EA-1C33846C3889}" name="QUANTIDADE ANUAL" dataDxfId="3"/>
    <tableColumn id="7" xr3:uid="{595A30F4-FB28-49B9-B488-277DFC09EF9C}" name="VALOR ANUAL POR EMPREGADO (R$)" dataDxfId="2">
      <calculatedColumnFormula>TRUNC(F140*E140,2)</calculatedColumnFormula>
    </tableColumn>
    <tableColumn id="8" xr3:uid="{D05235C1-B99A-4E4C-8F5E-6820D2C9258C}" name="VALOR MENSAL POR EMPREGADO (R$)" totalsRowFunction="sum" dataDxfId="1">
      <calculatedColumnFormula>TRUNC(G140/12,2)</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0F000000}" name="Table4" displayName="Table4" ref="A2:D7" totalsRowShown="0">
  <tableColumns count="4">
    <tableColumn id="1" xr3:uid="{00000000-0010-0000-0F00-000001000000}" name="Item" dataDxfId="548"/>
    <tableColumn id="2" xr3:uid="{00000000-0010-0000-0F00-000002000000}" name="Descrição" dataDxfId="547"/>
    <tableColumn id="3" xr3:uid="{00000000-0010-0000-0F00-000003000000}" name="Comentário" dataDxfId="546"/>
    <tableColumn id="4" xr3:uid="{00000000-0010-0000-0F00-000004000000}" name="Valor" dataDxfId="545"/>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0000000}" name="Table8" displayName="Table8" ref="A27:D29" totalsRowShown="0">
  <autoFilter ref="A27:D29" xr:uid="{00000000-0009-0000-0100-000020000000}"/>
  <tableColumns count="4">
    <tableColumn id="1" xr3:uid="{00000000-0010-0000-1000-000001000000}" name="Item" dataDxfId="544"/>
    <tableColumn id="2" xr3:uid="{00000000-0010-0000-1000-000002000000}" name="Rubrica" dataDxfId="543"/>
    <tableColumn id="3" xr3:uid="{00000000-0010-0000-1000-000003000000}" name="Base de Cálculo" dataDxfId="542"/>
    <tableColumn id="4" xr3:uid="{00000000-0010-0000-1000-000004000000}" name="Memória de Cálculo" dataDxfId="541"/>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11000000}" name="Table839" displayName="Table839" ref="A44:D45" totalsRowShown="0">
  <autoFilter ref="A44:D45" xr:uid="{00000000-0009-0000-0100-000021000000}"/>
  <tableColumns count="4">
    <tableColumn id="1" xr3:uid="{00000000-0010-0000-1100-000001000000}" name="Item" dataDxfId="540"/>
    <tableColumn id="2" xr3:uid="{00000000-0010-0000-1100-000002000000}" name="Rubrica" dataDxfId="539"/>
    <tableColumn id="3" xr3:uid="{00000000-0010-0000-1100-000003000000}" name="Base de Cálculo" dataDxfId="538"/>
    <tableColumn id="4" xr3:uid="{00000000-0010-0000-1100-000004000000}" name="Memória de Cálculo" dataDxfId="537"/>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12000000}" name="Table842" displayName="Table842" ref="A56:D58" totalsRowShown="0">
  <autoFilter ref="A56:D58" xr:uid="{00000000-0009-0000-0100-000022000000}"/>
  <tableColumns count="4">
    <tableColumn id="1" xr3:uid="{00000000-0010-0000-1200-000001000000}" name="Item" dataDxfId="536"/>
    <tableColumn id="2" xr3:uid="{00000000-0010-0000-1200-000002000000}" name="Rubrica" dataDxfId="535"/>
    <tableColumn id="3" xr3:uid="{00000000-0010-0000-1200-000003000000}" name="Base de Cálculo" dataDxfId="534"/>
    <tableColumn id="4" xr3:uid="{00000000-0010-0000-1200-000004000000}" name="Memória de Cálculo" dataDxfId="533"/>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DadosDesligamento" displayName="DadosDesligamento" ref="F9:G12" totalsRowShown="0">
  <autoFilter ref="F9:G12" xr:uid="{00000000-0009-0000-0100-000002000000}"/>
  <tableColumns count="2">
    <tableColumn id="1" xr3:uid="{00000000-0010-0000-0100-000001000000}" name="Tipos" dataDxfId="600"/>
    <tableColumn id="2" xr3:uid="{00000000-0010-0000-0100-000002000000}" name="Percentual" dataDxfId="599"/>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13000000}" name="Table84237" displayName="Table84237" ref="A78:D84" totalsRowShown="0">
  <autoFilter ref="A78:D84" xr:uid="{00000000-0009-0000-0100-000023000000}"/>
  <tableColumns count="4">
    <tableColumn id="1" xr3:uid="{00000000-0010-0000-1300-000001000000}" name="Item" dataDxfId="532"/>
    <tableColumn id="2" xr3:uid="{00000000-0010-0000-1300-000002000000}" name="Rubrica" dataDxfId="531"/>
    <tableColumn id="3" xr3:uid="{00000000-0010-0000-1300-000003000000}" name="Base de Cálculo" dataDxfId="530"/>
    <tableColumn id="4" xr3:uid="{00000000-0010-0000-1300-000004000000}" name="Memória de Cálculo" dataDxfId="529"/>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14000000}" name="Table84238" displayName="Table84238" ref="A98:D100" totalsRowShown="0">
  <autoFilter ref="A98:D100" xr:uid="{00000000-0009-0000-0100-000024000000}"/>
  <tableColumns count="4">
    <tableColumn id="1" xr3:uid="{00000000-0010-0000-1400-000001000000}" name="Item" dataDxfId="528"/>
    <tableColumn id="2" xr3:uid="{00000000-0010-0000-1400-000002000000}" name="Rubrica" dataDxfId="527"/>
    <tableColumn id="3" xr3:uid="{00000000-0010-0000-1400-000003000000}" name="Base de Cálculo" dataDxfId="526"/>
    <tableColumn id="4" xr3:uid="{00000000-0010-0000-1400-000004000000}" name="Memória de Cálculo" dataDxfId="525"/>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15000000}" name="Table8423851" displayName="Table8423851" ref="A122:D126" totalsRowShown="0">
  <autoFilter ref="A122:D126" xr:uid="{00000000-0009-0000-0100-000025000000}"/>
  <tableColumns count="4">
    <tableColumn id="1" xr3:uid="{00000000-0010-0000-1500-000001000000}" name="Item" dataDxfId="524"/>
    <tableColumn id="2" xr3:uid="{00000000-0010-0000-1500-000002000000}" name="Rubrica" dataDxfId="523"/>
    <tableColumn id="3" xr3:uid="{00000000-0010-0000-1500-000003000000}" name="Base de Cálculo" dataDxfId="522"/>
    <tableColumn id="4" xr3:uid="{00000000-0010-0000-1500-000004000000}" name="Memória de Cálculo" dataDxfId="521"/>
  </tableColumns>
  <tableStyleInfo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73000000}" name="Table39" displayName="Table39" ref="A2:G14" totalsRowCount="1" headerRowDxfId="520" totalsRowDxfId="519">
  <tableColumns count="7">
    <tableColumn id="1" xr3:uid="{00000000-0010-0000-7300-000001000000}" name="Item" totalsRowLabel="TOTAL" dataDxfId="518" totalsRowDxfId="517"/>
    <tableColumn id="2" xr3:uid="{00000000-0010-0000-7300-000002000000}" name="Descrição" dataDxfId="516" totalsRowDxfId="515"/>
    <tableColumn id="3" xr3:uid="{00000000-0010-0000-7300-000003000000}" name="Unidade" dataDxfId="514" totalsRowDxfId="513"/>
    <tableColumn id="4" xr3:uid="{00000000-0010-0000-7300-000004000000}" name="Quantidade" dataDxfId="512" totalsRowDxfId="511"/>
    <tableColumn id="5" xr3:uid="{00000000-0010-0000-7300-000005000000}" name="VIGÊNCIA (Mês)" dataDxfId="510" totalsRowDxfId="509"/>
    <tableColumn id="6" xr3:uid="{00000000-0010-0000-7300-000006000000}" name="VALOR UNITÁRIO MÁXIMO ACEITÁVEL" dataDxfId="508" totalsRowDxfId="507">
      <calculatedColumnFormula>Cozinheira!D142</calculatedColumnFormula>
    </tableColumn>
    <tableColumn id="7" xr3:uid="{00000000-0010-0000-7300-000007000000}" name="VALOR TOTAL MÁXIMO ACEITÁVEL" totalsRowFunction="custom" dataDxfId="506" totalsRowDxfId="505">
      <calculatedColumnFormula>((F3*D3)*(E3))</calculatedColumnFormula>
      <totalsRowFormula>SUM(G3:G13)</totalsRowFormula>
    </tableColumn>
  </tableColumns>
  <tableStyleInfo name="TableStyleMedium14"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3" xr:uid="{00000000-000C-0000-FFFF-FFFF16000000}" name="Módulo358_57104" displayName="Módulo358_57104" ref="A76:D83" totalsRowCount="1">
  <autoFilter ref="A76:D82" xr:uid="{00000000-0009-0000-0100-000067000000}"/>
  <tableColumns count="4">
    <tableColumn id="1" xr3:uid="{00000000-0010-0000-1600-000001000000}" name="3" totalsRowLabel="Total" dataDxfId="504"/>
    <tableColumn id="2" xr3:uid="{00000000-0010-0000-1600-000002000000}" name="Provisão para Rescisão" dataDxfId="503"/>
    <tableColumn id="3" xr3:uid="{00000000-0010-0000-1600-000003000000}" name="Percentual" totalsRowFunction="custom">
      <calculatedColumnFormula>(0.08*0.4*0.98)</calculatedColumnFormula>
      <totalsRowFormula>SUM(C77:C82)</totalsRowFormula>
    </tableColumn>
    <tableColumn id="4" xr3:uid="{00000000-0010-0000-1600-000004000000}" name="Valor" totalsRowFunction="custom">
      <calculatedColumnFormula>TRUNC(($D$31*C77),2)</calculatedColumnFormula>
      <totalsRowFormula>TRUNC((SUM(D77:D82)),2)</totalsRowFormula>
    </tableColumn>
  </tableColumns>
  <tableStyleInfo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4" xr:uid="{00000000-000C-0000-FFFF-FFFF17000000}" name="Módulo663_59105" displayName="Módulo663_59105" ref="A129:D136" totalsRowCount="1">
  <tableColumns count="4">
    <tableColumn id="1" xr3:uid="{00000000-0010-0000-1700-000001000000}" name="6" totalsRowLabel="Total" dataDxfId="502" totalsRowDxfId="501"/>
    <tableColumn id="2" xr3:uid="{00000000-0010-0000-1700-000002000000}" name="Custos Indiretos, Tributos e Lucro" dataDxfId="500" totalsRowDxfId="499"/>
    <tableColumn id="3" xr3:uid="{00000000-0010-0000-1700-000003000000}" name="Percentual" dataDxfId="498" totalsRowDxfId="497"/>
    <tableColumn id="4" xr3:uid="{00000000-0010-0000-1700-000004000000}" name="Valor" totalsRowFunction="custom" totalsRowDxfId="496">
      <calculatedColumnFormula>TRUNC(($I$133*C130),2)</calculatedColumnFormula>
      <totalsRowFormula>TRUNC(SUM(D130:D132),2)</totalsRowFormula>
    </tableColumn>
  </tableColumns>
  <tableStyleInfo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5" xr:uid="{00000000-000C-0000-FFFF-FFFF18000000}" name="Table452_56106" displayName="Table452_56106" ref="A16:D21" totalsRowShown="0">
  <tableColumns count="4">
    <tableColumn id="1" xr3:uid="{00000000-0010-0000-1800-000001000000}" name="Item" dataDxfId="495"/>
    <tableColumn id="2" xr3:uid="{00000000-0010-0000-1800-000002000000}" name="Descrição" dataDxfId="494"/>
    <tableColumn id="3" xr3:uid="{00000000-0010-0000-1800-000003000000}" name="Comentário" dataDxfId="493">
      <calculatedColumnFormula>C5</calculatedColumnFormula>
    </tableColumn>
    <tableColumn id="4" xr3:uid="{00000000-0010-0000-1800-000004000000}" name="Valor" dataDxfId="492"/>
  </tableColumns>
  <tableStyleInfo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6" xr:uid="{00000000-000C-0000-FFFF-FFFF19000000}" name="Submódulo4.260_55107" displayName="Submódulo4.260_55107" ref="A102:D104" totalsRowCount="1">
  <autoFilter ref="A102:D103" xr:uid="{00000000-0009-0000-0100-00006A000000}"/>
  <tableColumns count="4">
    <tableColumn id="1" xr3:uid="{00000000-0010-0000-1900-000001000000}" name="4.2" totalsRowLabel="Total" dataDxfId="491"/>
    <tableColumn id="2" xr3:uid="{00000000-0010-0000-1900-000002000000}" name="Substituto na Intrajornada " dataDxfId="490"/>
    <tableColumn id="3" xr3:uid="{00000000-0010-0000-1900-000003000000}" name="Comentário" dataDxfId="489"/>
    <tableColumn id="4" xr3:uid="{00000000-0010-0000-1900-000004000000}" name="Valor" totalsRowFunction="custom">
      <totalsRowFormula>D103</totalsRowFormula>
    </tableColumn>
  </tableColumns>
  <tableStyleInfo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7" xr:uid="{00000000-000C-0000-FFFF-FFFF1A000000}" name="ResumoPosto64_64108" displayName="ResumoPosto64_64108" ref="A140:D148" totalsRowShown="0">
  <autoFilter ref="A140:D148" xr:uid="{00000000-0009-0000-0100-00006B000000}"/>
  <tableColumns count="4">
    <tableColumn id="1" xr3:uid="{00000000-0010-0000-1A00-000001000000}" name="Item" dataDxfId="488"/>
    <tableColumn id="2" xr3:uid="{00000000-0010-0000-1A00-000002000000}" name="Mão de obra vinculada à execução contratual" dataDxfId="487"/>
    <tableColumn id="3" xr3:uid="{00000000-0010-0000-1A00-000003000000}" name="-" dataDxfId="486"/>
    <tableColumn id="4" xr3:uid="{00000000-0010-0000-1A00-000004000000}" name="Valor" dataDxfId="485">
      <calculatedColumnFormula>TRUNC((SUM(D134:D138)+D140),2)</calculatedColumnFormula>
    </tableColumn>
  </tableColumns>
  <tableStyleInfo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8" xr:uid="{00000000-000C-0000-FFFF-FFFF1B000000}" name="Módulo153_52109" displayName="Módulo153_52109" ref="A24:D31" totalsRowCount="1">
  <autoFilter ref="A24:D30" xr:uid="{00000000-0009-0000-0100-00006C000000}"/>
  <tableColumns count="4">
    <tableColumn id="1" xr3:uid="{00000000-0010-0000-1B00-000001000000}" name="1" totalsRowLabel="Total" dataDxfId="484"/>
    <tableColumn id="2" xr3:uid="{00000000-0010-0000-1B00-000002000000}" name="Composição da Remuneração" dataDxfId="483"/>
    <tableColumn id="3" xr3:uid="{00000000-0010-0000-1B00-000003000000}" name="Comentário" dataDxfId="482"/>
    <tableColumn id="4" xr3:uid="{00000000-0010-0000-1B00-000004000000}" name="Valor" totalsRowFunction="custom">
      <totalsRowFormula>TRUNC((SUM(D25:D30)),2)</totalsRow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DadosGerais" displayName="DadosGerais" ref="F2:G6" totalsRowShown="0">
  <autoFilter ref="F2:G6" xr:uid="{00000000-0009-0000-0100-000003000000}"/>
  <tableColumns count="2">
    <tableColumn id="1" xr3:uid="{00000000-0010-0000-0200-000001000000}" name="Descrição" dataDxfId="598"/>
    <tableColumn id="2" xr3:uid="{00000000-0010-0000-0200-000002000000}" name="Valor" dataDxfId="597"/>
  </tableColumns>
  <tableStyleInfo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9" xr:uid="{00000000-000C-0000-FFFF-FFFF1C000000}" name="Submódulo4.159_54110" displayName="Submódulo4.159_54110" ref="A92:D99" totalsRowCount="1">
  <autoFilter ref="A92:D98" xr:uid="{00000000-0009-0000-0100-00006D000000}"/>
  <tableColumns count="4">
    <tableColumn id="1" xr3:uid="{00000000-0010-0000-1C00-000001000000}" name="4.1" totalsRowLabel="Total" dataDxfId="481"/>
    <tableColumn id="2" xr3:uid="{00000000-0010-0000-1C00-000002000000}" name="Substituto nas Ausências Legais" dataDxfId="480"/>
    <tableColumn id="3" xr3:uid="{00000000-0010-0000-1C00-000003000000}" name="Percentual" totalsRowFunction="sum" dataDxfId="479"/>
    <tableColumn id="4" xr3:uid="{00000000-0010-0000-1C00-000004000000}" name="Valor" totalsRowFunction="custom">
      <calculatedColumnFormula>TRUNC($D$88*C93)</calculatedColumnFormula>
      <totalsRowFormula>TRUNC((SUM(D93:D98)),2)</totalsRowFormula>
    </tableColumn>
  </tableColumns>
  <tableStyleInfo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0" xr:uid="{00000000-000C-0000-FFFF-FFFF1D000000}" name="Submódulo2.154_61111" displayName="Submódulo2.154_61111" ref="A36:D39" totalsRowCount="1">
  <autoFilter ref="A36:D38" xr:uid="{00000000-0009-0000-0100-00006E000000}"/>
  <tableColumns count="4">
    <tableColumn id="1" xr3:uid="{00000000-0010-0000-1D00-000001000000}" name="2.1" totalsRowLabel="Total" dataDxfId="478"/>
    <tableColumn id="2" xr3:uid="{00000000-0010-0000-1D00-000002000000}" name="13º (décimo terceiro) Salário, Férias e Adicional de Férias" dataDxfId="477"/>
    <tableColumn id="3" xr3:uid="{00000000-0010-0000-1D00-000003000000}" name="Percentual" dataDxfId="476">
      <calculatedColumnFormula>(((1+1/3)/12))</calculatedColumnFormula>
    </tableColumn>
    <tableColumn id="4" xr3:uid="{00000000-0010-0000-1D00-000004000000}" name="Valor" totalsRowFunction="custom">
      <calculatedColumnFormula>TRUNC($D$31*C37,2)</calculatedColumnFormula>
      <totalsRowFormula>TRUNC((SUM(D37:D38)),2)</totalsRowFormula>
    </tableColumn>
  </tableColumns>
  <tableStyleInfo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1" xr:uid="{00000000-000C-0000-FFFF-FFFF1E000000}" name="Submódulo2.356_53112" displayName="Submódulo2.356_53112" ref="A58:D66" totalsRowCount="1">
  <autoFilter ref="A58:D65" xr:uid="{00000000-0009-0000-0100-00006F000000}"/>
  <tableColumns count="4">
    <tableColumn id="1" xr3:uid="{00000000-0010-0000-1E00-000001000000}" name="2.3" totalsRowLabel="Total" dataDxfId="475"/>
    <tableColumn id="2" xr3:uid="{00000000-0010-0000-1E00-000002000000}" name="Benefícios Mensais e Diários" dataDxfId="474"/>
    <tableColumn id="3" xr3:uid="{00000000-0010-0000-1E00-000003000000}" name="Comentário" dataDxfId="473">
      <calculatedColumnFormula>C54</calculatedColumnFormula>
    </tableColumn>
    <tableColumn id="4" xr3:uid="{00000000-0010-0000-1E00-000004000000}" name="Valor" totalsRowFunction="custom">
      <totalsRowFormula>TRUNC((SUM(D59:D65)),2)</totalsRowFormula>
    </tableColumn>
  </tableColumns>
  <tableStyleInfo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2" xr:uid="{00000000-000C-0000-FFFF-FFFF1F000000}" name="ResumoMódulo257_60113" displayName="ResumoMódulo257_60113" ref="A69:D73" totalsRowCount="1">
  <autoFilter ref="A69:D72" xr:uid="{00000000-0009-0000-0100-000070000000}"/>
  <tableColumns count="4">
    <tableColumn id="1" xr3:uid="{00000000-0010-0000-1F00-000001000000}" name="2" totalsRowLabel="Total" dataDxfId="472"/>
    <tableColumn id="2" xr3:uid="{00000000-0010-0000-1F00-000002000000}" name="Encargos e Benefícios Anuais, Mensais e Diários" dataDxfId="471"/>
    <tableColumn id="3" xr3:uid="{00000000-0010-0000-1F00-000003000000}" name="Comentário" dataDxfId="470"/>
    <tableColumn id="4" xr3:uid="{00000000-0010-0000-1F00-000004000000}" name="Valor" totalsRowFunction="custom">
      <calculatedColumnFormula>D64</calculatedColumnFormula>
      <totalsRowFormula>TRUNC((SUM(D70:D72)),2)</totalsRowFormula>
    </tableColumn>
  </tableColumns>
  <tableStyleInfo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3" xr:uid="{00000000-000C-0000-FFFF-FFFF20000000}" name="Submódulo2.255_63114" displayName="Submódulo2.255_63114" ref="A46:D55" totalsRowCount="1">
  <autoFilter ref="A46:D54" xr:uid="{00000000-0009-0000-0100-000071000000}"/>
  <tableColumns count="4">
    <tableColumn id="1" xr3:uid="{00000000-0010-0000-2000-000001000000}" name="2.2" totalsRowLabel="Total" dataDxfId="469" totalsRowDxfId="468"/>
    <tableColumn id="2" xr3:uid="{00000000-0010-0000-2000-000002000000}" name="GPS, FGTS e outras contribuições" dataDxfId="467"/>
    <tableColumn id="3" xr3:uid="{00000000-0010-0000-2000-000003000000}" name="Percentual" totalsRowFunction="custom" totalsRowDxfId="466">
      <totalsRowFormula>SUM(C47:C54)</totalsRowFormula>
    </tableColumn>
    <tableColumn id="4" xr3:uid="{00000000-0010-0000-2000-000004000000}" name="Valor " totalsRowFunction="custom" totalsRowDxfId="465">
      <calculatedColumnFormula>TRUNC(($D$43*C47),2)</calculatedColumnFormula>
      <totalsRowFormula>TRUNC(SUM(D47:D54),2)</totalsRowFormula>
    </tableColumn>
  </tableColumns>
  <tableStyleInfo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4" xr:uid="{00000000-000C-0000-FFFF-FFFF21000000}" name="ResumoMódulo461_62115" displayName="ResumoMódulo461_62115" ref="A107:D110" totalsRowCount="1">
  <autoFilter ref="A107:D109" xr:uid="{00000000-0009-0000-0100-000072000000}"/>
  <tableColumns count="4">
    <tableColumn id="1" xr3:uid="{00000000-0010-0000-2100-000001000000}" name="4" totalsRowLabel="Total" dataDxfId="464"/>
    <tableColumn id="2" xr3:uid="{00000000-0010-0000-2100-000002000000}" name="Custo de Reposição do Profissional Ausente" dataDxfId="463"/>
    <tableColumn id="3" xr3:uid="{00000000-0010-0000-2100-000003000000}" name="Comentário" totalsRowLabel="*Nota: Se o titular USUFRUIR do descanso intrajornada, o total é o somatório dos subitens 4.1 e 4.2" dataDxfId="462"/>
    <tableColumn id="4" xr3:uid="{00000000-0010-0000-2100-000004000000}" name="Valor" totalsRowFunction="custom">
      <calculatedColumnFormula>Submódulo4.260_55107[[#Totals],[Valor]]</calculatedColumnFormula>
      <totalsRowFormula>TRUNC((SUM(D108:D109)),2)</totalsRowFormula>
    </tableColumn>
  </tableColumns>
  <tableStyleInfo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5" xr:uid="{00000000-000C-0000-FFFF-FFFF22000000}" name="Módulo562_58116" displayName="Módulo562_58116" ref="A113:D119" totalsRowCount="1">
  <autoFilter ref="A113:D118" xr:uid="{00000000-0009-0000-0100-000073000000}"/>
  <tableColumns count="4">
    <tableColumn id="1" xr3:uid="{00000000-0010-0000-2200-000001000000}" name="5" totalsRowLabel="Total" dataDxfId="461" totalsRowDxfId="460"/>
    <tableColumn id="2" xr3:uid="{00000000-0010-0000-2200-000002000000}" name="Insumos Diversos" dataDxfId="459"/>
    <tableColumn id="3" xr3:uid="{00000000-0010-0000-2200-000003000000}" name="Comentário" dataDxfId="458"/>
    <tableColumn id="4" xr3:uid="{00000000-0010-0000-2200-000004000000}" name="Valor" totalsRowFunction="custom" totalsRowDxfId="457">
      <calculatedColumnFormula>J113</calculatedColumnFormula>
      <totalsRowFormula>TRUNC(SUM(D114:D118),2)</totalsRowFormula>
    </tableColumn>
  </tableColumns>
  <tableStyleInfo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3000000}" name="Módulo153_39" displayName="Módulo153_39" ref="A24:D31" totalsRowCount="1">
  <autoFilter ref="A24:D30" xr:uid="{00000000-0009-0000-0100-000026000000}"/>
  <tableColumns count="4">
    <tableColumn id="1" xr3:uid="{00000000-0010-0000-2300-000001000000}" name="1" totalsRowLabel="Total" dataDxfId="456"/>
    <tableColumn id="2" xr3:uid="{00000000-0010-0000-2300-000002000000}" name="Composição da Remuneração" dataDxfId="455"/>
    <tableColumn id="3" xr3:uid="{00000000-0010-0000-2300-000003000000}" name="Comentário" dataDxfId="454"/>
    <tableColumn id="4" xr3:uid="{00000000-0010-0000-2300-000004000000}" name="Valor" totalsRowFunction="custom">
      <totalsRowFormula>TRUNC(SUM(D25:D30),2)</totalsRowFormula>
    </tableColumn>
  </tableColumns>
  <tableStyleInfo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4000000}" name="Submódulo2.356_40" displayName="Submódulo2.356_40" ref="A58:D66" totalsRowCount="1">
  <autoFilter ref="A58:D65" xr:uid="{00000000-0009-0000-0100-000027000000}"/>
  <tableColumns count="4">
    <tableColumn id="1" xr3:uid="{00000000-0010-0000-2400-000001000000}" name="2.3" totalsRowLabel="Total" dataDxfId="453"/>
    <tableColumn id="2" xr3:uid="{00000000-0010-0000-2400-000002000000}" name="Benefícios Mensais e Diários" dataDxfId="452"/>
    <tableColumn id="3" xr3:uid="{00000000-0010-0000-2400-000003000000}" name="Comentário" dataDxfId="451">
      <calculatedColumnFormula>C54</calculatedColumnFormula>
    </tableColumn>
    <tableColumn id="4" xr3:uid="{00000000-0010-0000-2400-000004000000}" name="Valor" totalsRowFunction="custom">
      <totalsRowFormula>TRUNC((SUM(D59:D65)),2)</totalsRowFormula>
    </tableColumn>
  </tableColumns>
  <tableStyleInfo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5000000}" name="Submódulo4.159_41" displayName="Submódulo4.159_41" ref="A92:D99" totalsRowCount="1">
  <autoFilter ref="A92:D98" xr:uid="{00000000-0009-0000-0100-000028000000}"/>
  <tableColumns count="4">
    <tableColumn id="1" xr3:uid="{00000000-0010-0000-2500-000001000000}" name="4.1" totalsRowLabel="Total" dataDxfId="450"/>
    <tableColumn id="2" xr3:uid="{00000000-0010-0000-2500-000002000000}" name="Substituto nas Ausências Legais" dataDxfId="449"/>
    <tableColumn id="3" xr3:uid="{00000000-0010-0000-2500-000003000000}" name="Percentual" totalsRowFunction="sum" dataDxfId="448"/>
    <tableColumn id="4" xr3:uid="{00000000-0010-0000-2500-000004000000}" name="Valor" totalsRowFunction="custom">
      <calculatedColumnFormula>TRUNC($D$88*C93)</calculatedColumnFormula>
      <totalsRowFormula>TRUNC((SUM(D93:D98)),2)</totalsRow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Módulo1" displayName="Módulo1" ref="A10:D17">
  <tableColumns count="4">
    <tableColumn id="1" xr3:uid="{00000000-0010-0000-0300-000001000000}" name="1" totalsRowLabel="Total" dataDxfId="596"/>
    <tableColumn id="2" xr3:uid="{00000000-0010-0000-0300-000002000000}" name="Composição da Remuneração" dataDxfId="595"/>
    <tableColumn id="3" xr3:uid="{00000000-0010-0000-0300-000003000000}" name="Comentário" dataDxfId="594"/>
    <tableColumn id="4" xr3:uid="{00000000-0010-0000-0300-000004000000}" name="Valor" dataDxfId="593">
      <calculatedColumnFormula>SUBTOTAL(109,Módulo1[Valor])</calculatedColumnFormula>
    </tableColumn>
  </tableColumns>
  <tableStyleInfo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6000000}" name="Submódulo4.260_42" displayName="Submódulo4.260_42" ref="A102:D104" totalsRowCount="1">
  <autoFilter ref="A102:D103" xr:uid="{00000000-0009-0000-0100-000029000000}"/>
  <tableColumns count="4">
    <tableColumn id="1" xr3:uid="{00000000-0010-0000-2600-000001000000}" name="4.2" totalsRowLabel="Total" dataDxfId="447"/>
    <tableColumn id="2" xr3:uid="{00000000-0010-0000-2600-000002000000}" name="Substituto na Intrajornada " dataDxfId="446"/>
    <tableColumn id="3" xr3:uid="{00000000-0010-0000-2600-000003000000}" name="Comentário" dataDxfId="445"/>
    <tableColumn id="4" xr3:uid="{00000000-0010-0000-2600-000004000000}" name="Valor" totalsRowFunction="custom">
      <totalsRowFormula>D103</totalsRowFormula>
    </tableColumn>
  </tableColumns>
  <tableStyleInfo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7000000}" name="Table452_43" displayName="Table452_43" ref="A16:D21" totalsRowShown="0">
  <tableColumns count="4">
    <tableColumn id="1" xr3:uid="{00000000-0010-0000-2700-000001000000}" name="Item" dataDxfId="444"/>
    <tableColumn id="2" xr3:uid="{00000000-0010-0000-2700-000002000000}" name="Descrição" dataDxfId="443"/>
    <tableColumn id="3" xr3:uid="{00000000-0010-0000-2700-000003000000}" name="Comentário" dataDxfId="442">
      <calculatedColumnFormula>C5</calculatedColumnFormula>
    </tableColumn>
    <tableColumn id="4" xr3:uid="{00000000-0010-0000-2700-000004000000}" name="Valor" dataDxfId="441"/>
  </tableColumns>
  <tableStyleInfo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8000000}" name="Módulo358_44" displayName="Módulo358_44" ref="A76:D83" totalsRowCount="1">
  <autoFilter ref="A76:D82" xr:uid="{00000000-0009-0000-0100-00002B000000}"/>
  <tableColumns count="4">
    <tableColumn id="1" xr3:uid="{00000000-0010-0000-2800-000001000000}" name="3" totalsRowLabel="Total" dataDxfId="440"/>
    <tableColumn id="2" xr3:uid="{00000000-0010-0000-2800-000002000000}" name="Provisão para Rescisão" dataDxfId="439"/>
    <tableColumn id="3" xr3:uid="{00000000-0010-0000-2800-000003000000}" name="Percentual" totalsRowFunction="custom">
      <calculatedColumnFormula>(0.08*0.4*0.98)</calculatedColumnFormula>
      <totalsRowFormula>SUM(C77:C82)</totalsRowFormula>
    </tableColumn>
    <tableColumn id="4" xr3:uid="{00000000-0010-0000-2800-000004000000}" name="Valor" totalsRowFunction="custom">
      <calculatedColumnFormula>TRUNC(($D$31*C77),2)</calculatedColumnFormula>
      <totalsRowFormula>TRUNC((SUM(D77:D82)),2)</totalsRowFormula>
    </tableColumn>
  </tableColumns>
  <tableStyleInfo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9000000}" name="Módulo562_45" displayName="Módulo562_45" ref="A113:D119" totalsRowCount="1">
  <autoFilter ref="A113:D118" xr:uid="{00000000-0009-0000-0100-00002C000000}"/>
  <tableColumns count="4">
    <tableColumn id="1" xr3:uid="{00000000-0010-0000-2900-000001000000}" name="5" totalsRowLabel="Total" dataDxfId="438" totalsRowDxfId="437"/>
    <tableColumn id="2" xr3:uid="{00000000-0010-0000-2900-000002000000}" name="Insumos Diversos" dataDxfId="436"/>
    <tableColumn id="3" xr3:uid="{00000000-0010-0000-2900-000003000000}" name="Comentário" dataDxfId="435"/>
    <tableColumn id="4" xr3:uid="{00000000-0010-0000-2900-000004000000}" name="Valor" totalsRowFunction="custom" totalsRowDxfId="434">
      <calculatedColumnFormula>J113</calculatedColumnFormula>
      <totalsRowFormula>TRUNC(SUM(D114:D118),2)</totalsRowFormula>
    </tableColumn>
  </tableColumns>
  <tableStyleInfo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A000000}" name="Módulo663_46" displayName="Módulo663_46" ref="A129:D136" totalsRowCount="1">
  <tableColumns count="4">
    <tableColumn id="1" xr3:uid="{00000000-0010-0000-2A00-000001000000}" name="6" totalsRowLabel="Total" dataDxfId="433" totalsRowDxfId="432"/>
    <tableColumn id="2" xr3:uid="{00000000-0010-0000-2A00-000002000000}" name="Custos Indiretos, Tributos e Lucro" dataDxfId="431"/>
    <tableColumn id="3" xr3:uid="{00000000-0010-0000-2A00-000003000000}" name="Percentual" dataDxfId="430" totalsRowDxfId="429"/>
    <tableColumn id="4" xr3:uid="{00000000-0010-0000-2A00-000004000000}" name="Valor" totalsRowFunction="custom" totalsRowDxfId="428">
      <calculatedColumnFormula>TRUNC(($I$133*C130),2)</calculatedColumnFormula>
      <totalsRowFormula>TRUNC(SUM(D130:D132),2)</totalsRowFormula>
    </tableColumn>
  </tableColumns>
  <tableStyleInfo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B000000}" name="ResumoMódulo257_47" displayName="ResumoMódulo257_47" ref="A69:D73" totalsRowCount="1">
  <autoFilter ref="A69:D72" xr:uid="{00000000-0009-0000-0100-00002E000000}"/>
  <tableColumns count="4">
    <tableColumn id="1" xr3:uid="{00000000-0010-0000-2B00-000001000000}" name="2" totalsRowLabel="Total" dataDxfId="427"/>
    <tableColumn id="2" xr3:uid="{00000000-0010-0000-2B00-000002000000}" name="Encargos e Benefícios Anuais, Mensais e Diários" dataDxfId="426"/>
    <tableColumn id="3" xr3:uid="{00000000-0010-0000-2B00-000003000000}" name="Comentário" dataDxfId="425"/>
    <tableColumn id="4" xr3:uid="{00000000-0010-0000-2B00-000004000000}" name="Valor" totalsRowFunction="custom">
      <calculatedColumnFormula>D64</calculatedColumnFormula>
      <totalsRowFormula>TRUNC((SUM(D70:D72)),2)</totalsRowFormula>
    </tableColumn>
  </tableColumns>
  <tableStyleInfo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C000000}" name="Submódulo2.154_48" displayName="Submódulo2.154_48" ref="A36:D39" totalsRowCount="1">
  <autoFilter ref="A36:D38" xr:uid="{00000000-0009-0000-0100-00002F000000}"/>
  <tableColumns count="4">
    <tableColumn id="1" xr3:uid="{00000000-0010-0000-2C00-000001000000}" name="2.1" totalsRowLabel="Total" dataDxfId="424"/>
    <tableColumn id="2" xr3:uid="{00000000-0010-0000-2C00-000002000000}" name="13º (décimo terceiro) Salário, Férias e Adicional de Férias" dataDxfId="423"/>
    <tableColumn id="3" xr3:uid="{00000000-0010-0000-2C00-000003000000}" name="Percentual" dataDxfId="422">
      <calculatedColumnFormula>(((1+1/3)/12))</calculatedColumnFormula>
    </tableColumn>
    <tableColumn id="4" xr3:uid="{00000000-0010-0000-2C00-000004000000}" name="Valor" totalsRowFunction="custom">
      <calculatedColumnFormula>TRUNC($D$31*C37,2)</calculatedColumnFormula>
      <totalsRowFormula>TRUNC((SUM(D37:D38)),2)</totalsRowFormula>
    </tableColumn>
  </tableColumns>
  <tableStyleInfo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00000000-000C-0000-FFFF-FFFF2D000000}" name="ResumoMódulo461_49" displayName="ResumoMódulo461_49" ref="A107:D110" totalsRowCount="1">
  <autoFilter ref="A107:D109" xr:uid="{00000000-0009-0000-0100-000030000000}"/>
  <tableColumns count="4">
    <tableColumn id="1" xr3:uid="{00000000-0010-0000-2D00-000001000000}" name="4" totalsRowLabel="Total" dataDxfId="421"/>
    <tableColumn id="2" xr3:uid="{00000000-0010-0000-2D00-000002000000}" name="Custo de Reposição do Profissional Ausente" dataDxfId="420"/>
    <tableColumn id="3" xr3:uid="{00000000-0010-0000-2D00-000003000000}" name="Comentário" totalsRowLabel="*Nota: Se o titular USUFRUIR do descanso intrajornada, o total é o somatório dos subitens 4.1 e 4.2" dataDxfId="419"/>
    <tableColumn id="4" xr3:uid="{00000000-0010-0000-2D00-000004000000}" name="Valor" totalsRowFunction="custom">
      <calculatedColumnFormula>Submódulo4.260_42[[#Totals],[Valor]]</calculatedColumnFormula>
      <totalsRowFormula>TRUNC((SUM(D108:D109)),2)</totalsRowFormula>
    </tableColumn>
  </tableColumns>
  <tableStyleInfo showFirstColumn="0" showLastColumn="0" showRowStripes="1" showColumnStripes="0"/>
</table>
</file>

<file path=xl/tables/table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9" xr:uid="{00000000-000C-0000-FFFF-FFFF2E000000}" name="Submódulo2.255_50" displayName="Submódulo2.255_50" ref="A46:D55" totalsRowCount="1">
  <autoFilter ref="A46:D54" xr:uid="{00000000-0009-0000-0100-000031000000}"/>
  <tableColumns count="4">
    <tableColumn id="1" xr3:uid="{00000000-0010-0000-2E00-000001000000}" name="2.2" totalsRowLabel="Total" dataDxfId="418" totalsRowDxfId="417"/>
    <tableColumn id="2" xr3:uid="{00000000-0010-0000-2E00-000002000000}" name="GPS, FGTS e outras contribuições" dataDxfId="416"/>
    <tableColumn id="3" xr3:uid="{00000000-0010-0000-2E00-000003000000}" name="Percentual" totalsRowFunction="custom" totalsRowDxfId="415">
      <totalsRowFormula>SUM(C47:C54)</totalsRowFormula>
    </tableColumn>
    <tableColumn id="4" xr3:uid="{00000000-0010-0000-2E00-000004000000}" name="Valor " totalsRowFunction="custom" totalsRowDxfId="414">
      <calculatedColumnFormula>TRUNC(($D$43*C47),2)</calculatedColumnFormula>
      <totalsRowFormula>TRUNC((SUM(D47:D54)),2)</totalsRowFormula>
    </tableColumn>
  </tableColumns>
  <tableStyleInfo showFirstColumn="0" showLastColumn="0" showRowStripes="1" showColumnStripes="0"/>
</table>
</file>

<file path=xl/tables/table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00000000-000C-0000-FFFF-FFFF2F000000}" name="ResumoPosto64_51" displayName="ResumoPosto64_51" ref="A140:D148" totalsRowShown="0">
  <autoFilter ref="A140:D148" xr:uid="{00000000-0009-0000-0100-000032000000}"/>
  <tableColumns count="4">
    <tableColumn id="1" xr3:uid="{00000000-0010-0000-2F00-000001000000}" name="Item" dataDxfId="413"/>
    <tableColumn id="2" xr3:uid="{00000000-0010-0000-2F00-000002000000}" name="Mão de obra vinculada à execução contratual" dataDxfId="412"/>
    <tableColumn id="3" xr3:uid="{00000000-0010-0000-2F00-000003000000}" name="-" dataDxfId="411"/>
    <tableColumn id="4" xr3:uid="{00000000-0010-0000-2F00-000004000000}" name="Valor" dataDxfId="410">
      <calculatedColumnFormula>TRUNC((SUM(D134:D138)+D140),2)</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Módulo3" displayName="Módulo3" ref="A68:D75">
  <tableColumns count="4">
    <tableColumn id="1" xr3:uid="{00000000-0010-0000-0400-000001000000}" name="3" totalsRowLabel="Total" dataDxfId="592"/>
    <tableColumn id="2" xr3:uid="{00000000-0010-0000-0400-000002000000}" name="Provisão para Rescisão" dataDxfId="591"/>
    <tableColumn id="3" xr3:uid="{00000000-0010-0000-0400-000003000000}" name="Comentário" dataDxfId="590"/>
    <tableColumn id="4" xr3:uid="{00000000-0010-0000-0400-000004000000}" name="Valor" dataDxfId="589">
      <calculatedColumnFormula>SUBTOTAL(109,Módulo3[Valor])</calculatedColumnFormula>
    </tableColumn>
  </tableColumns>
  <tableStyleInfo showFirstColumn="0" showLastColumn="0" showRowStripes="1" showColumnStripes="0"/>
</table>
</file>

<file path=xl/tables/table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1" xr:uid="{00000000-000C-0000-FFFF-FFFF30000000}" name="Módulo153_52" displayName="Módulo153_52" ref="A24:D31" totalsRowCount="1">
  <autoFilter ref="A24:D30" xr:uid="{00000000-0009-0000-0100-000033000000}"/>
  <tableColumns count="4">
    <tableColumn id="1" xr3:uid="{00000000-0010-0000-3000-000001000000}" name="1" totalsRowLabel="Total" dataDxfId="409"/>
    <tableColumn id="2" xr3:uid="{00000000-0010-0000-3000-000002000000}" name="Composição da Remuneração" dataDxfId="408"/>
    <tableColumn id="3" xr3:uid="{00000000-0010-0000-3000-000003000000}" name="Comentário" dataDxfId="407"/>
    <tableColumn id="4" xr3:uid="{00000000-0010-0000-3000-000004000000}" name="Valor" totalsRowFunction="custom">
      <totalsRowFormula>TRUNC((SUM(D25:D30)),2)</totalsRowFormula>
    </tableColumn>
  </tableColumns>
  <tableStyleInfo showFirstColumn="0" showLastColumn="0" showRowStripes="1" showColumnStripes="0"/>
</table>
</file>

<file path=xl/tables/table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2" xr:uid="{00000000-000C-0000-FFFF-FFFF31000000}" name="Submódulo2.356_53" displayName="Submódulo2.356_53" ref="A58:D66" totalsRowCount="1">
  <autoFilter ref="A58:D65" xr:uid="{00000000-0009-0000-0100-000034000000}"/>
  <tableColumns count="4">
    <tableColumn id="1" xr3:uid="{00000000-0010-0000-3100-000001000000}" name="2.3" totalsRowLabel="Total" dataDxfId="406"/>
    <tableColumn id="2" xr3:uid="{00000000-0010-0000-3100-000002000000}" name="Benefícios Mensais e Diários" dataDxfId="405"/>
    <tableColumn id="3" xr3:uid="{00000000-0010-0000-3100-000003000000}" name="Comentário" dataDxfId="404">
      <calculatedColumnFormula>C54</calculatedColumnFormula>
    </tableColumn>
    <tableColumn id="4" xr3:uid="{00000000-0010-0000-3100-000004000000}" name="Valor" totalsRowFunction="custom">
      <totalsRowFormula>TRUNC((SUM(D59:D65)),2)</totalsRowFormula>
    </tableColumn>
  </tableColumns>
  <tableStyleInfo showFirstColumn="0" showLastColumn="0" showRowStripes="1" showColumnStripes="0"/>
</table>
</file>

<file path=xl/tables/table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3" xr:uid="{00000000-000C-0000-FFFF-FFFF32000000}" name="Submódulo4.159_54" displayName="Submódulo4.159_54" ref="A92:D99" totalsRowCount="1">
  <autoFilter ref="A92:D98" xr:uid="{00000000-0009-0000-0100-000035000000}"/>
  <tableColumns count="4">
    <tableColumn id="1" xr3:uid="{00000000-0010-0000-3200-000001000000}" name="4.1" totalsRowLabel="Total" dataDxfId="403"/>
    <tableColumn id="2" xr3:uid="{00000000-0010-0000-3200-000002000000}" name="Substituto nas Ausências Legais" dataDxfId="402"/>
    <tableColumn id="3" xr3:uid="{00000000-0010-0000-3200-000003000000}" name="Percentual" totalsRowFunction="sum" dataDxfId="401"/>
    <tableColumn id="4" xr3:uid="{00000000-0010-0000-3200-000004000000}" name="Valor" totalsRowFunction="custom">
      <calculatedColumnFormula>TRUNC($D$88*C93)</calculatedColumnFormula>
      <totalsRowFormula>TRUNC((SUM(D93:D98)),2)</totalsRowFormula>
    </tableColumn>
  </tableColumns>
  <tableStyleInfo showFirstColumn="0" showLastColumn="0" showRowStripes="1" showColumnStripes="0"/>
</table>
</file>

<file path=xl/tables/table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00000000-000C-0000-FFFF-FFFF33000000}" name="Submódulo4.260_55" displayName="Submódulo4.260_55" ref="A102:D104" totalsRowCount="1">
  <autoFilter ref="A102:D103" xr:uid="{00000000-0009-0000-0100-000036000000}"/>
  <tableColumns count="4">
    <tableColumn id="1" xr3:uid="{00000000-0010-0000-3300-000001000000}" name="4.2" totalsRowLabel="Total" dataDxfId="400"/>
    <tableColumn id="2" xr3:uid="{00000000-0010-0000-3300-000002000000}" name="Substituto na Intrajornada " dataDxfId="399"/>
    <tableColumn id="3" xr3:uid="{00000000-0010-0000-3300-000003000000}" name="Comentário" dataDxfId="398"/>
    <tableColumn id="4" xr3:uid="{00000000-0010-0000-3300-000004000000}" name="Valor" totalsRowFunction="custom">
      <totalsRowFormula>D103</totalsRowFormula>
    </tableColumn>
  </tableColumns>
  <tableStyleInfo showFirstColumn="0" showLastColumn="0" showRowStripes="1" showColumnStripes="0"/>
</table>
</file>

<file path=xl/tables/table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5" xr:uid="{00000000-000C-0000-FFFF-FFFF34000000}" name="Table452_56" displayName="Table452_56" ref="A16:D21" totalsRowShown="0">
  <tableColumns count="4">
    <tableColumn id="1" xr3:uid="{00000000-0010-0000-3400-000001000000}" name="Item" dataDxfId="397"/>
    <tableColumn id="2" xr3:uid="{00000000-0010-0000-3400-000002000000}" name="Descrição" dataDxfId="396"/>
    <tableColumn id="3" xr3:uid="{00000000-0010-0000-3400-000003000000}" name="Comentário" dataDxfId="395">
      <calculatedColumnFormula>C5</calculatedColumnFormula>
    </tableColumn>
    <tableColumn id="4" xr3:uid="{00000000-0010-0000-3400-000004000000}" name="Valor" dataDxfId="394"/>
  </tableColumns>
  <tableStyleInfo showFirstColumn="0" showLastColumn="0" showRowStripes="1" showColumnStripes="0"/>
</table>
</file>

<file path=xl/tables/table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6" xr:uid="{00000000-000C-0000-FFFF-FFFF35000000}" name="Módulo358_57" displayName="Módulo358_57" ref="A76:D83" totalsRowCount="1">
  <autoFilter ref="A76:D82" xr:uid="{00000000-0009-0000-0100-000038000000}"/>
  <tableColumns count="4">
    <tableColumn id="1" xr3:uid="{00000000-0010-0000-3500-000001000000}" name="3" totalsRowLabel="Total" dataDxfId="393"/>
    <tableColumn id="2" xr3:uid="{00000000-0010-0000-3500-000002000000}" name="Provisão para Rescisão" dataDxfId="392"/>
    <tableColumn id="3" xr3:uid="{00000000-0010-0000-3500-000003000000}" name="Percentual" totalsRowFunction="custom">
      <calculatedColumnFormula>(0.08*0.4*0.98)</calculatedColumnFormula>
      <totalsRowFormula>SUM(C77:C82)</totalsRowFormula>
    </tableColumn>
    <tableColumn id="4" xr3:uid="{00000000-0010-0000-3500-000004000000}" name="Valor" totalsRowFunction="custom">
      <calculatedColumnFormula>TRUNC(($D$31*C77),2)</calculatedColumnFormula>
      <totalsRowFormula>TRUNC((SUM(D77:D82)),2)</totalsRowFormula>
    </tableColumn>
  </tableColumns>
  <tableStyleInfo showFirstColumn="0" showLastColumn="0" showRowStripes="1" showColumnStripes="0"/>
</table>
</file>

<file path=xl/tables/table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7" xr:uid="{00000000-000C-0000-FFFF-FFFF36000000}" name="Módulo562_58" displayName="Módulo562_58" ref="A113:D119" totalsRowCount="1">
  <autoFilter ref="A113:D118" xr:uid="{00000000-0009-0000-0100-000039000000}"/>
  <tableColumns count="4">
    <tableColumn id="1" xr3:uid="{00000000-0010-0000-3600-000001000000}" name="5" totalsRowLabel="Total" dataDxfId="391" totalsRowDxfId="390"/>
    <tableColumn id="2" xr3:uid="{00000000-0010-0000-3600-000002000000}" name="Insumos Diversos" dataDxfId="389"/>
    <tableColumn id="3" xr3:uid="{00000000-0010-0000-3600-000003000000}" name="Comentário" dataDxfId="388"/>
    <tableColumn id="4" xr3:uid="{00000000-0010-0000-3600-000004000000}" name="Valor" totalsRowFunction="custom" totalsRowDxfId="387">
      <calculatedColumnFormula>J113</calculatedColumnFormula>
      <totalsRowFormula>TRUNC(SUM(D114:D118),2)</totalsRowFormula>
    </tableColumn>
  </tableColumns>
  <tableStyleInfo showFirstColumn="0" showLastColumn="0" showRowStripes="1" showColumnStripes="0"/>
</table>
</file>

<file path=xl/tables/table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8" xr:uid="{00000000-000C-0000-FFFF-FFFF37000000}" name="Módulo663_59" displayName="Módulo663_59" ref="A129:D136" totalsRowCount="1">
  <tableColumns count="4">
    <tableColumn id="1" xr3:uid="{00000000-0010-0000-3700-000001000000}" name="6" totalsRowLabel="Total" dataDxfId="386" totalsRowDxfId="385"/>
    <tableColumn id="2" xr3:uid="{00000000-0010-0000-3700-000002000000}" name="Custos Indiretos, Tributos e Lucro" dataDxfId="384"/>
    <tableColumn id="3" xr3:uid="{00000000-0010-0000-3700-000003000000}" name="Percentual" dataDxfId="383" totalsRowDxfId="382"/>
    <tableColumn id="4" xr3:uid="{00000000-0010-0000-3700-000004000000}" name="Valor" totalsRowFunction="custom" totalsRowDxfId="381">
      <calculatedColumnFormula>TRUNC(($I$133*C130),2)</calculatedColumnFormula>
      <totalsRowFormula>TRUNC(SUM(D130:D132),2)</totalsRowFormula>
    </tableColumn>
  </tableColumns>
  <tableStyleInfo showFirstColumn="0" showLastColumn="0" showRowStripes="1" showColumnStripes="0"/>
</table>
</file>

<file path=xl/tables/table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9" xr:uid="{00000000-000C-0000-FFFF-FFFF38000000}" name="ResumoMódulo257_60" displayName="ResumoMódulo257_60" ref="A69:D73" totalsRowCount="1">
  <autoFilter ref="A69:D72" xr:uid="{00000000-0009-0000-0100-00003B000000}"/>
  <tableColumns count="4">
    <tableColumn id="1" xr3:uid="{00000000-0010-0000-3800-000001000000}" name="2" totalsRowLabel="Total" dataDxfId="380"/>
    <tableColumn id="2" xr3:uid="{00000000-0010-0000-3800-000002000000}" name="Encargos e Benefícios Anuais, Mensais e Diários" dataDxfId="379"/>
    <tableColumn id="3" xr3:uid="{00000000-0010-0000-3800-000003000000}" name="Comentário" dataDxfId="378"/>
    <tableColumn id="4" xr3:uid="{00000000-0010-0000-3800-000004000000}" name="Valor" totalsRowFunction="custom">
      <calculatedColumnFormula>D64</calculatedColumnFormula>
      <totalsRowFormula>TRUNC((SUM(D70:D72)),2)</totalsRowFormula>
    </tableColumn>
  </tableColumns>
  <tableStyleInfo showFirstColumn="0" showLastColumn="0" showRowStripes="1" showColumnStripes="0"/>
</table>
</file>

<file path=xl/tables/table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0" xr:uid="{00000000-000C-0000-FFFF-FFFF39000000}" name="Submódulo2.154_61" displayName="Submódulo2.154_61" ref="A36:D39" totalsRowCount="1">
  <autoFilter ref="A36:D38" xr:uid="{00000000-0009-0000-0100-00003C000000}"/>
  <tableColumns count="4">
    <tableColumn id="1" xr3:uid="{00000000-0010-0000-3900-000001000000}" name="2.1" totalsRowLabel="Total" dataDxfId="377"/>
    <tableColumn id="2" xr3:uid="{00000000-0010-0000-3900-000002000000}" name="13º (décimo terceiro) Salário, Férias e Adicional de Férias" dataDxfId="376"/>
    <tableColumn id="3" xr3:uid="{00000000-0010-0000-3900-000003000000}" name="Percentual" dataDxfId="375">
      <calculatedColumnFormula>(((1+1/3)/12))</calculatedColumnFormula>
    </tableColumn>
    <tableColumn id="4" xr3:uid="{00000000-0010-0000-3900-000004000000}" name="Valor" totalsRowFunction="custom">
      <calculatedColumnFormula>TRUNC($D$31*C37,2)</calculatedColumnFormula>
      <totalsRowFormula>TRUNC((SUM(D37:D38)),2)</totalsRow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Módulo5" displayName="Módulo5" ref="A114:D119">
  <tableColumns count="4">
    <tableColumn id="1" xr3:uid="{00000000-0010-0000-0500-000001000000}" name="5" totalsRowLabel="Total" dataDxfId="588"/>
    <tableColumn id="2" xr3:uid="{00000000-0010-0000-0500-000002000000}" name="Insumos Diversos" dataDxfId="587"/>
    <tableColumn id="3" xr3:uid="{00000000-0010-0000-0500-000003000000}" name="Comentário" dataDxfId="586"/>
    <tableColumn id="4" xr3:uid="{00000000-0010-0000-0500-000004000000}" name="Valor" dataDxfId="585">
      <calculatedColumnFormula>SUBTOTAL(109,Módulo5[Valor])</calculatedColumnFormula>
    </tableColumn>
  </tableColumns>
  <tableStyleInfo showFirstColumn="0" showLastColumn="0" showRowStripes="1" showColumnStripes="0"/>
</table>
</file>

<file path=xl/tables/table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1" xr:uid="{00000000-000C-0000-FFFF-FFFF3A000000}" name="ResumoMódulo461_62" displayName="ResumoMódulo461_62" ref="A107:D110" totalsRowCount="1">
  <autoFilter ref="A107:D109" xr:uid="{00000000-0009-0000-0100-00003D000000}"/>
  <tableColumns count="4">
    <tableColumn id="1" xr3:uid="{00000000-0010-0000-3A00-000001000000}" name="4" totalsRowLabel="Total" dataDxfId="374"/>
    <tableColumn id="2" xr3:uid="{00000000-0010-0000-3A00-000002000000}" name="Custo de Reposição do Profissional Ausente" dataDxfId="373"/>
    <tableColumn id="3" xr3:uid="{00000000-0010-0000-3A00-000003000000}" name="Comentário" totalsRowLabel="*Nota: Se o titular USUFRUIR do descanso intrajornada, o total é o somatório dos subitens 4.1 e 4.2" dataDxfId="372"/>
    <tableColumn id="4" xr3:uid="{00000000-0010-0000-3A00-000004000000}" name="Valor" totalsRowFunction="custom">
      <calculatedColumnFormula>Submódulo4.260_55[[#Totals],[Valor]]</calculatedColumnFormula>
      <totalsRowFormula>TRUNC((SUM(D108:D109)),2)</totalsRowFormula>
    </tableColumn>
  </tableColumns>
  <tableStyleInfo showFirstColumn="0" showLastColumn="0" showRowStripes="1" showColumnStripes="0"/>
</table>
</file>

<file path=xl/tables/table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2" xr:uid="{00000000-000C-0000-FFFF-FFFF3B000000}" name="Submódulo2.255_63" displayName="Submódulo2.255_63" ref="A46:D55" totalsRowCount="1">
  <autoFilter ref="A46:D54" xr:uid="{00000000-0009-0000-0100-00003E000000}"/>
  <tableColumns count="4">
    <tableColumn id="1" xr3:uid="{00000000-0010-0000-3B00-000001000000}" name="2.2" totalsRowLabel="Total" dataDxfId="371" totalsRowDxfId="370"/>
    <tableColumn id="2" xr3:uid="{00000000-0010-0000-3B00-000002000000}" name="GPS, FGTS e outras contribuições" dataDxfId="369"/>
    <tableColumn id="3" xr3:uid="{00000000-0010-0000-3B00-000003000000}" name="Percentual" totalsRowFunction="custom" totalsRowDxfId="368">
      <totalsRowFormula>SUM(C47:C54)</totalsRowFormula>
    </tableColumn>
    <tableColumn id="4" xr3:uid="{00000000-0010-0000-3B00-000004000000}" name="Valor " totalsRowFunction="custom" totalsRowDxfId="367">
      <calculatedColumnFormula>TRUNC(($D$43*C47),2)</calculatedColumnFormula>
      <totalsRowFormula>TRUNC((SUM(D47:D54)),2)</totalsRowFormula>
    </tableColumn>
  </tableColumns>
  <tableStyleInfo showFirstColumn="0" showLastColumn="0" showRowStripes="1" showColumnStripes="0"/>
</table>
</file>

<file path=xl/tables/table6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3C000000}" name="ResumoPosto64_64" displayName="ResumoPosto64_64" ref="A140:D148" totalsRowShown="0">
  <autoFilter ref="A140:D148" xr:uid="{00000000-0009-0000-0100-00003F000000}"/>
  <tableColumns count="4">
    <tableColumn id="1" xr3:uid="{00000000-0010-0000-3C00-000001000000}" name="Item" dataDxfId="366"/>
    <tableColumn id="2" xr3:uid="{00000000-0010-0000-3C00-000002000000}" name="Mão de obra vinculada à execução contratual" dataDxfId="365"/>
    <tableColumn id="3" xr3:uid="{00000000-0010-0000-3C00-000003000000}" name="-" dataDxfId="364"/>
    <tableColumn id="4" xr3:uid="{00000000-0010-0000-3C00-000004000000}" name="Valor" dataDxfId="363">
      <calculatedColumnFormula>TRUNC((SUM(D134:D138)+D140),2)</calculatedColumnFormula>
    </tableColumn>
  </tableColumns>
  <tableStyleInfo showFirstColumn="0" showLastColumn="0" showRowStripes="1" showColumnStripes="0"/>
</table>
</file>

<file path=xl/tables/table6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00000000-000C-0000-FFFF-FFFF3D000000}" name="Submódulo2.356_65" displayName="Submódulo2.356_65" ref="A58:D66" totalsRowCount="1">
  <autoFilter ref="A58:D65" xr:uid="{00000000-0009-0000-0100-000040000000}"/>
  <tableColumns count="4">
    <tableColumn id="1" xr3:uid="{00000000-0010-0000-3D00-000001000000}" name="2.3" totalsRowLabel="Total" dataDxfId="362"/>
    <tableColumn id="2" xr3:uid="{00000000-0010-0000-3D00-000002000000}" name="Benefícios Mensais e Diários" dataDxfId="361"/>
    <tableColumn id="3" xr3:uid="{00000000-0010-0000-3D00-000003000000}" name="Comentário" dataDxfId="360">
      <calculatedColumnFormula>C54</calculatedColumnFormula>
    </tableColumn>
    <tableColumn id="4" xr3:uid="{00000000-0010-0000-3D00-000004000000}" name="Valor" totalsRowFunction="custom">
      <totalsRowFormula>TRUNC((SUM(D59:D65)),2)</totalsRowFormula>
    </tableColumn>
  </tableColumns>
  <tableStyleInfo showFirstColumn="0" showLastColumn="0" showRowStripes="1" showColumnStripes="0"/>
</table>
</file>

<file path=xl/tables/table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5" xr:uid="{00000000-000C-0000-FFFF-FFFF3E000000}" name="Módulo153_66" displayName="Módulo153_66" ref="A24:D31" totalsRowCount="1">
  <autoFilter ref="A24:D30" xr:uid="{00000000-0009-0000-0100-000041000000}"/>
  <tableColumns count="4">
    <tableColumn id="1" xr3:uid="{00000000-0010-0000-3E00-000001000000}" name="1" totalsRowLabel="Total" dataDxfId="359"/>
    <tableColumn id="2" xr3:uid="{00000000-0010-0000-3E00-000002000000}" name="Composição da Remuneração" dataDxfId="358"/>
    <tableColumn id="3" xr3:uid="{00000000-0010-0000-3E00-000003000000}" name="Comentário" dataDxfId="357"/>
    <tableColumn id="4" xr3:uid="{00000000-0010-0000-3E00-000004000000}" name="Valor" totalsRowFunction="custom">
      <totalsRowFormula>TRUNC((SUM(D25:D30)),2)</totalsRowFormula>
    </tableColumn>
  </tableColumns>
  <tableStyleInfo showFirstColumn="0" showLastColumn="0" showRowStripes="1" showColumnStripes="0"/>
</table>
</file>

<file path=xl/tables/table6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6" xr:uid="{00000000-000C-0000-FFFF-FFFF3F000000}" name="Submódulo4.159_67" displayName="Submódulo4.159_67" ref="A92:D99" totalsRowCount="1">
  <autoFilter ref="A92:D98" xr:uid="{00000000-0009-0000-0100-000042000000}"/>
  <tableColumns count="4">
    <tableColumn id="1" xr3:uid="{00000000-0010-0000-3F00-000001000000}" name="4.1" totalsRowLabel="Total" dataDxfId="356"/>
    <tableColumn id="2" xr3:uid="{00000000-0010-0000-3F00-000002000000}" name="Substituto nas Ausências Legais" dataDxfId="355"/>
    <tableColumn id="3" xr3:uid="{00000000-0010-0000-3F00-000003000000}" name="Percentual" totalsRowFunction="sum" dataDxfId="354"/>
    <tableColumn id="4" xr3:uid="{00000000-0010-0000-3F00-000004000000}" name="Valor" totalsRowFunction="custom">
      <calculatedColumnFormula>TRUNC($D$88*C93)</calculatedColumnFormula>
      <totalsRowFormula>TRUNC((SUM(D93:D98)),2)</totalsRowFormula>
    </tableColumn>
  </tableColumns>
  <tableStyleInfo showFirstColumn="0" showLastColumn="0" showRowStripes="1" showColumnStripes="0"/>
</table>
</file>

<file path=xl/tables/table6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7" xr:uid="{00000000-000C-0000-FFFF-FFFF40000000}" name="Módulo358_68" displayName="Módulo358_68" ref="A76:D83" totalsRowCount="1">
  <autoFilter ref="A76:D82" xr:uid="{00000000-0009-0000-0100-000043000000}"/>
  <tableColumns count="4">
    <tableColumn id="1" xr3:uid="{00000000-0010-0000-4000-000001000000}" name="3" totalsRowLabel="Total" dataDxfId="353"/>
    <tableColumn id="2" xr3:uid="{00000000-0010-0000-4000-000002000000}" name="Provisão para Rescisão" dataDxfId="352"/>
    <tableColumn id="3" xr3:uid="{00000000-0010-0000-4000-000003000000}" name="Percentual" totalsRowFunction="custom">
      <calculatedColumnFormula>(0.08*0.4*0.98)</calculatedColumnFormula>
      <totalsRowFormula>SUM(C77:C82)</totalsRowFormula>
    </tableColumn>
    <tableColumn id="4" xr3:uid="{00000000-0010-0000-4000-000004000000}" name="Valor" totalsRowFunction="custom">
      <calculatedColumnFormula>TRUNC(($D$31*C77),2)</calculatedColumnFormula>
      <totalsRowFormula>TRUNC((SUM(D77:D82)),2)</totalsRowFormula>
    </tableColumn>
  </tableColumns>
  <tableStyleInfo showFirstColumn="0" showLastColumn="0" showRowStripes="1" showColumnStripes="0"/>
</table>
</file>

<file path=xl/tables/table6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8" xr:uid="{00000000-000C-0000-FFFF-FFFF41000000}" name="Módulo562_69" displayName="Módulo562_69" ref="A113:D119" totalsRowCount="1">
  <autoFilter ref="A113:D118" xr:uid="{00000000-0009-0000-0100-000044000000}"/>
  <tableColumns count="4">
    <tableColumn id="1" xr3:uid="{00000000-0010-0000-4100-000001000000}" name="5" totalsRowLabel="Total" dataDxfId="351" totalsRowDxfId="350"/>
    <tableColumn id="2" xr3:uid="{00000000-0010-0000-4100-000002000000}" name="Insumos Diversos" dataDxfId="349"/>
    <tableColumn id="3" xr3:uid="{00000000-0010-0000-4100-000003000000}" name="Comentário" dataDxfId="348"/>
    <tableColumn id="4" xr3:uid="{00000000-0010-0000-4100-000004000000}" name="Valor" totalsRowFunction="custom" totalsRowDxfId="347">
      <calculatedColumnFormula>J113</calculatedColumnFormula>
      <totalsRowFormula>TRUNC(SUM(D114:D118),2)</totalsRowFormula>
    </tableColumn>
  </tableColumns>
  <tableStyleInfo showFirstColumn="0" showLastColumn="0" showRowStripes="1" showColumnStripes="0"/>
</table>
</file>

<file path=xl/tables/table6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9" xr:uid="{00000000-000C-0000-FFFF-FFFF42000000}" name="Table452_70" displayName="Table452_70" ref="A16:D21" totalsRowShown="0">
  <tableColumns count="4">
    <tableColumn id="1" xr3:uid="{00000000-0010-0000-4200-000001000000}" name="Item" dataDxfId="346"/>
    <tableColumn id="2" xr3:uid="{00000000-0010-0000-4200-000002000000}" name="Descrição" dataDxfId="345"/>
    <tableColumn id="3" xr3:uid="{00000000-0010-0000-4200-000003000000}" name="Comentário" dataDxfId="344">
      <calculatedColumnFormula>C5</calculatedColumnFormula>
    </tableColumn>
    <tableColumn id="4" xr3:uid="{00000000-0010-0000-4200-000004000000}" name="Valor" dataDxfId="343"/>
  </tableColumns>
  <tableStyleInfo showFirstColumn="0" showLastColumn="0" showRowStripes="1" showColumnStripes="0"/>
</table>
</file>

<file path=xl/tables/table6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0" xr:uid="{00000000-000C-0000-FFFF-FFFF43000000}" name="Submódulo4.260_71" displayName="Submódulo4.260_71" ref="A102:D104" totalsRowCount="1">
  <autoFilter ref="A102:D103" xr:uid="{00000000-0009-0000-0100-000046000000}"/>
  <tableColumns count="4">
    <tableColumn id="1" xr3:uid="{00000000-0010-0000-4300-000001000000}" name="4.2" totalsRowLabel="Total" dataDxfId="342"/>
    <tableColumn id="2" xr3:uid="{00000000-0010-0000-4300-000002000000}" name="Substituto na Intrajornada " dataDxfId="341"/>
    <tableColumn id="3" xr3:uid="{00000000-0010-0000-4300-000003000000}" name="Comentário" dataDxfId="340"/>
    <tableColumn id="4" xr3:uid="{00000000-0010-0000-4300-000004000000}" name="Valor" totalsRowFunction="custom">
      <totalsRowFormula>D103</totalsRow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6000000}" name="Módulo6" displayName="Módulo6" ref="A129:D136">
  <tableColumns count="4">
    <tableColumn id="1" xr3:uid="{00000000-0010-0000-0600-000001000000}" name="6" totalsRowLabel="Total" dataDxfId="584"/>
    <tableColumn id="2" xr3:uid="{00000000-0010-0000-0600-000002000000}" name="Custos Indiretos, Tributos e Lucro" dataDxfId="583"/>
    <tableColumn id="3" xr3:uid="{00000000-0010-0000-0600-000003000000}" name="Percentual" dataDxfId="582"/>
    <tableColumn id="4" xr3:uid="{00000000-0010-0000-0600-000004000000}" name="Valor" dataDxfId="581">
      <calculatedColumnFormula>SUM(D124:D126)</calculatedColumnFormula>
    </tableColumn>
  </tableColumns>
  <tableStyleInfo showFirstColumn="0" showLastColumn="0" showRowStripes="1" showColumnStripes="0"/>
</table>
</file>

<file path=xl/tables/table7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1" xr:uid="{00000000-000C-0000-FFFF-FFFF44000000}" name="Módulo663_72" displayName="Módulo663_72" ref="A129:D136" totalsRowCount="1">
  <tableColumns count="4">
    <tableColumn id="1" xr3:uid="{00000000-0010-0000-4400-000001000000}" name="6" totalsRowLabel="Total" dataDxfId="339" totalsRowDxfId="338"/>
    <tableColumn id="2" xr3:uid="{00000000-0010-0000-4400-000002000000}" name="Custos Indiretos, Tributos e Lucro" dataDxfId="337"/>
    <tableColumn id="3" xr3:uid="{00000000-0010-0000-4400-000003000000}" name="Percentual" dataDxfId="336" totalsRowDxfId="335"/>
    <tableColumn id="4" xr3:uid="{00000000-0010-0000-4400-000004000000}" name="Valor" totalsRowFunction="custom" totalsRowDxfId="334">
      <calculatedColumnFormula>TRUNC(($I$133*C130),2)</calculatedColumnFormula>
      <totalsRowFormula>TRUNC(SUM(D130:D132),2)</totalsRowFormula>
    </tableColumn>
  </tableColumns>
  <tableStyleInfo showFirstColumn="0" showLastColumn="0" showRowStripes="1" showColumnStripes="0"/>
</table>
</file>

<file path=xl/tables/table7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2" xr:uid="{00000000-000C-0000-FFFF-FFFF45000000}" name="Submódulo2.154_73" displayName="Submódulo2.154_73" ref="A36:D39" totalsRowCount="1">
  <autoFilter ref="A36:D38" xr:uid="{00000000-0009-0000-0100-000048000000}"/>
  <tableColumns count="4">
    <tableColumn id="1" xr3:uid="{00000000-0010-0000-4500-000001000000}" name="2.1" totalsRowLabel="Total" dataDxfId="333"/>
    <tableColumn id="2" xr3:uid="{00000000-0010-0000-4500-000002000000}" name="13º (décimo terceiro) Salário, Férias e Adicional de Férias" dataDxfId="332"/>
    <tableColumn id="3" xr3:uid="{00000000-0010-0000-4500-000003000000}" name="Percentual" dataDxfId="331">
      <calculatedColumnFormula>(((1+1/3)/12))</calculatedColumnFormula>
    </tableColumn>
    <tableColumn id="4" xr3:uid="{00000000-0010-0000-4500-000004000000}" name="Valor" totalsRowFunction="custom">
      <calculatedColumnFormula>TRUNC($D$31*C37,2)</calculatedColumnFormula>
      <totalsRowFormula>TRUNC((SUM(D37:D38)),2)</totalsRowFormula>
    </tableColumn>
  </tableColumns>
  <tableStyleInfo showFirstColumn="0" showLastColumn="0" showRowStripes="1" showColumnStripes="0"/>
</table>
</file>

<file path=xl/tables/table7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3" xr:uid="{00000000-000C-0000-FFFF-FFFF46000000}" name="ResumoMódulo257_74" displayName="ResumoMódulo257_74" ref="A69:D73" totalsRowCount="1">
  <autoFilter ref="A69:D72" xr:uid="{00000000-0009-0000-0100-000049000000}"/>
  <tableColumns count="4">
    <tableColumn id="1" xr3:uid="{00000000-0010-0000-4600-000001000000}" name="2" totalsRowLabel="Total" dataDxfId="330"/>
    <tableColumn id="2" xr3:uid="{00000000-0010-0000-4600-000002000000}" name="Encargos e Benefícios Anuais, Mensais e Diários" dataDxfId="329"/>
    <tableColumn id="3" xr3:uid="{00000000-0010-0000-4600-000003000000}" name="Comentário" dataDxfId="328"/>
    <tableColumn id="4" xr3:uid="{00000000-0010-0000-4600-000004000000}" name="Valor" totalsRowFunction="custom">
      <calculatedColumnFormula>D64</calculatedColumnFormula>
      <totalsRowFormula>TRUNC((SUM(D70:D72)),2)</totalsRowFormula>
    </tableColumn>
  </tableColumns>
  <tableStyleInfo showFirstColumn="0" showLastColumn="0" showRowStripes="1" showColumnStripes="0"/>
</table>
</file>

<file path=xl/tables/table7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4" xr:uid="{00000000-000C-0000-FFFF-FFFF47000000}" name="ResumoMódulo461_75" displayName="ResumoMódulo461_75" ref="A107:D110" totalsRowCount="1">
  <autoFilter ref="A107:D109" xr:uid="{00000000-0009-0000-0100-00004A000000}"/>
  <tableColumns count="4">
    <tableColumn id="1" xr3:uid="{00000000-0010-0000-4700-000001000000}" name="4" totalsRowLabel="Total" dataDxfId="327"/>
    <tableColumn id="2" xr3:uid="{00000000-0010-0000-4700-000002000000}" name="Custo de Reposição do Profissional Ausente" dataDxfId="326"/>
    <tableColumn id="3" xr3:uid="{00000000-0010-0000-4700-000003000000}" name="Comentário" totalsRowLabel="*Nota: Se o titular USUFRUIR do descanso intrajornada, o total é o somatório dos subitens 4.1 e 4.2" dataDxfId="325"/>
    <tableColumn id="4" xr3:uid="{00000000-0010-0000-4700-000004000000}" name="Valor" totalsRowFunction="custom">
      <calculatedColumnFormula>Submódulo4.260_71[[#Totals],[Valor]]</calculatedColumnFormula>
      <totalsRowFormula>TRUNC((SUM(D108:D109)),2)</totalsRowFormula>
    </tableColumn>
  </tableColumns>
  <tableStyleInfo showFirstColumn="0" showLastColumn="0" showRowStripes="1" showColumnStripes="0"/>
</table>
</file>

<file path=xl/tables/table7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5" xr:uid="{00000000-000C-0000-FFFF-FFFF48000000}" name="Submódulo2.255_76" displayName="Submódulo2.255_76" ref="A46:D55" totalsRowCount="1">
  <autoFilter ref="A46:D54" xr:uid="{00000000-0009-0000-0100-00004B000000}"/>
  <tableColumns count="4">
    <tableColumn id="1" xr3:uid="{00000000-0010-0000-4800-000001000000}" name="2.2" totalsRowLabel="Total" dataDxfId="324" totalsRowDxfId="323"/>
    <tableColumn id="2" xr3:uid="{00000000-0010-0000-4800-000002000000}" name="GPS, FGTS e outras contribuições" dataDxfId="322"/>
    <tableColumn id="3" xr3:uid="{00000000-0010-0000-4800-000003000000}" name="Percentual" totalsRowFunction="custom" totalsRowDxfId="321">
      <totalsRowFormula>SUM(C47:C54)</totalsRowFormula>
    </tableColumn>
    <tableColumn id="4" xr3:uid="{00000000-0010-0000-4800-000004000000}" name="Valor " totalsRowFunction="custom" totalsRowDxfId="320">
      <calculatedColumnFormula>TRUNC(($D$43*C47),2)</calculatedColumnFormula>
      <totalsRowFormula>TRUNC((SUM(D47:D54)),2)</totalsRowFormula>
    </tableColumn>
  </tableColumns>
  <tableStyleInfo showFirstColumn="0" showLastColumn="0" showRowStripes="1" showColumnStripes="0"/>
</table>
</file>

<file path=xl/tables/table7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6" xr:uid="{00000000-000C-0000-FFFF-FFFF49000000}" name="ResumoPosto64_77" displayName="ResumoPosto64_77" ref="A140:D148" totalsRowShown="0">
  <autoFilter ref="A140:D148" xr:uid="{00000000-0009-0000-0100-00004C000000}"/>
  <tableColumns count="4">
    <tableColumn id="1" xr3:uid="{00000000-0010-0000-4900-000001000000}" name="Item" dataDxfId="319"/>
    <tableColumn id="2" xr3:uid="{00000000-0010-0000-4900-000002000000}" name="Mão de obra vinculada à execução contratual" dataDxfId="318"/>
    <tableColumn id="3" xr3:uid="{00000000-0010-0000-4900-000003000000}" name="-" dataDxfId="317"/>
    <tableColumn id="4" xr3:uid="{00000000-0010-0000-4900-000004000000}" name="Valor" dataDxfId="316">
      <calculatedColumnFormula>TRUNC((SUM(D134:D138)+D140),2)</calculatedColumnFormula>
    </tableColumn>
  </tableColumns>
  <tableStyleInfo showFirstColumn="0" showLastColumn="0" showRowStripes="1" showColumnStripes="0"/>
</table>
</file>

<file path=xl/tables/table7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7" xr:uid="{00000000-000C-0000-FFFF-FFFF4A000000}" name="Módulo153_78" displayName="Módulo153_78" ref="A24:D31" totalsRowCount="1">
  <autoFilter ref="A24:D30" xr:uid="{00000000-0009-0000-0100-00004D000000}"/>
  <tableColumns count="4">
    <tableColumn id="1" xr3:uid="{00000000-0010-0000-4A00-000001000000}" name="1" totalsRowLabel="Total" dataDxfId="315"/>
    <tableColumn id="2" xr3:uid="{00000000-0010-0000-4A00-000002000000}" name="Composição da Remuneração" dataDxfId="314"/>
    <tableColumn id="3" xr3:uid="{00000000-0010-0000-4A00-000003000000}" name="Comentário" dataDxfId="313"/>
    <tableColumn id="4" xr3:uid="{00000000-0010-0000-4A00-000004000000}" name="Valor" totalsRowFunction="custom">
      <totalsRowFormula>TRUNC(SUM(D25:D30),2)</totalsRowFormula>
    </tableColumn>
  </tableColumns>
  <tableStyleInfo showFirstColumn="0" showLastColumn="0" showRowStripes="1" showColumnStripes="0"/>
</table>
</file>

<file path=xl/tables/table7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8" xr:uid="{00000000-000C-0000-FFFF-FFFF4B000000}" name="Submódulo2.356_79" displayName="Submódulo2.356_79" ref="A58:D66" totalsRowCount="1">
  <autoFilter ref="A58:D65" xr:uid="{00000000-0009-0000-0100-00004E000000}"/>
  <tableColumns count="4">
    <tableColumn id="1" xr3:uid="{00000000-0010-0000-4B00-000001000000}" name="2.3" totalsRowLabel="Total" dataDxfId="312"/>
    <tableColumn id="2" xr3:uid="{00000000-0010-0000-4B00-000002000000}" name="Benefícios Mensais e Diários" dataDxfId="311"/>
    <tableColumn id="3" xr3:uid="{00000000-0010-0000-4B00-000003000000}" name="Comentário" dataDxfId="310">
      <calculatedColumnFormula>C54</calculatedColumnFormula>
    </tableColumn>
    <tableColumn id="4" xr3:uid="{00000000-0010-0000-4B00-000004000000}" name="Valor" totalsRowFunction="custom">
      <totalsRowFormula>TRUNC((SUM(D59:D65)),2)</totalsRowFormula>
    </tableColumn>
  </tableColumns>
  <tableStyleInfo showFirstColumn="0" showLastColumn="0" showRowStripes="1" showColumnStripes="0"/>
</table>
</file>

<file path=xl/tables/table7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9" xr:uid="{00000000-000C-0000-FFFF-FFFF4C000000}" name="Submódulo4.159_80" displayName="Submódulo4.159_80" ref="A92:D99" totalsRowCount="1">
  <autoFilter ref="A92:D98" xr:uid="{00000000-0009-0000-0100-00004F000000}"/>
  <tableColumns count="4">
    <tableColumn id="1" xr3:uid="{00000000-0010-0000-4C00-000001000000}" name="4.1" totalsRowLabel="Total" dataDxfId="309"/>
    <tableColumn id="2" xr3:uid="{00000000-0010-0000-4C00-000002000000}" name="Substituto nas Ausências Legais" dataDxfId="308"/>
    <tableColumn id="3" xr3:uid="{00000000-0010-0000-4C00-000003000000}" name="Percentual" totalsRowFunction="sum" dataDxfId="307"/>
    <tableColumn id="4" xr3:uid="{00000000-0010-0000-4C00-000004000000}" name="Valor" totalsRowFunction="custom">
      <calculatedColumnFormula>TRUNC($D$88*C93)</calculatedColumnFormula>
      <totalsRowFormula>TRUNC((SUM(D93:D98)),2)</totalsRowFormula>
    </tableColumn>
  </tableColumns>
  <tableStyleInfo showFirstColumn="0" showLastColumn="0" showRowStripes="1" showColumnStripes="0"/>
</table>
</file>

<file path=xl/tables/table7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0" xr:uid="{00000000-000C-0000-FFFF-FFFF4D000000}" name="Submódulo4.260_81" displayName="Submódulo4.260_81" ref="A102:D104" totalsRowCount="1">
  <autoFilter ref="A102:D103" xr:uid="{00000000-0009-0000-0100-000050000000}"/>
  <tableColumns count="4">
    <tableColumn id="1" xr3:uid="{00000000-0010-0000-4D00-000001000000}" name="4.2" totalsRowLabel="Total" dataDxfId="306"/>
    <tableColumn id="2" xr3:uid="{00000000-0010-0000-4D00-000002000000}" name="Substituto na Intrajornada " dataDxfId="305"/>
    <tableColumn id="3" xr3:uid="{00000000-0010-0000-4D00-000003000000}" name="Comentário" dataDxfId="304"/>
    <tableColumn id="4" xr3:uid="{00000000-0010-0000-4D00-000004000000}" name="Valor" totalsRowFunction="custom">
      <totalsRowFormula>D103</totalsRow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7000000}" name="ResumoMódulo2" displayName="ResumoMódulo2" ref="A61:D65">
  <tableColumns count="4">
    <tableColumn id="1" xr3:uid="{00000000-0010-0000-0700-000001000000}" name="2" totalsRowLabel="Total" dataDxfId="580"/>
    <tableColumn id="2" xr3:uid="{00000000-0010-0000-0700-000002000000}" name="Encargos e Benefícios Anuais, Mensais e Diários" dataDxfId="579"/>
    <tableColumn id="3" xr3:uid="{00000000-0010-0000-0700-000003000000}" name="Comentário" dataDxfId="578"/>
    <tableColumn id="4" xr3:uid="{00000000-0010-0000-0700-000004000000}" name="Valor" dataDxfId="577"/>
  </tableColumns>
  <tableStyleInfo showFirstColumn="0" showLastColumn="0" showRowStripes="1" showColumnStripes="0"/>
</table>
</file>

<file path=xl/tables/table8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1" xr:uid="{00000000-000C-0000-FFFF-FFFF4E000000}" name="Table452_82" displayName="Table452_82" ref="A16:D21" totalsRowShown="0">
  <tableColumns count="4">
    <tableColumn id="1" xr3:uid="{00000000-0010-0000-4E00-000001000000}" name="Item" dataDxfId="303"/>
    <tableColumn id="2" xr3:uid="{00000000-0010-0000-4E00-000002000000}" name="Descrição" dataDxfId="302"/>
    <tableColumn id="3" xr3:uid="{00000000-0010-0000-4E00-000003000000}" name="Comentário" dataDxfId="301">
      <calculatedColumnFormula>C5</calculatedColumnFormula>
    </tableColumn>
    <tableColumn id="4" xr3:uid="{00000000-0010-0000-4E00-000004000000}" name="Valor" dataDxfId="300"/>
  </tableColumns>
  <tableStyleInfo showFirstColumn="0" showLastColumn="0" showRowStripes="1" showColumnStripes="0"/>
</table>
</file>

<file path=xl/tables/table8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2" xr:uid="{00000000-000C-0000-FFFF-FFFF4F000000}" name="Módulo358_83" displayName="Módulo358_83" ref="A76:D83" totalsRowCount="1">
  <autoFilter ref="A76:D82" xr:uid="{00000000-0009-0000-0100-000052000000}"/>
  <tableColumns count="4">
    <tableColumn id="1" xr3:uid="{00000000-0010-0000-4F00-000001000000}" name="3" totalsRowLabel="Total" dataDxfId="299"/>
    <tableColumn id="2" xr3:uid="{00000000-0010-0000-4F00-000002000000}" name="Provisão para Rescisão" dataDxfId="298"/>
    <tableColumn id="3" xr3:uid="{00000000-0010-0000-4F00-000003000000}" name="Percentual" totalsRowFunction="custom">
      <calculatedColumnFormula>(0.08*0.4*0.98)</calculatedColumnFormula>
      <totalsRowFormula>SUM(C77:C82)</totalsRowFormula>
    </tableColumn>
    <tableColumn id="4" xr3:uid="{00000000-0010-0000-4F00-000004000000}" name="Valor" totalsRowFunction="custom">
      <calculatedColumnFormula>TRUNC(($D$31*C77),2)</calculatedColumnFormula>
      <totalsRowFormula>TRUNC((SUM(D77:D82)),2)</totalsRowFormula>
    </tableColumn>
  </tableColumns>
  <tableStyleInfo showFirstColumn="0" showLastColumn="0" showRowStripes="1" showColumnStripes="0"/>
</table>
</file>

<file path=xl/tables/table8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3" xr:uid="{00000000-000C-0000-FFFF-FFFF50000000}" name="Módulo562_84" displayName="Módulo562_84" ref="A113:D119" totalsRowCount="1">
  <autoFilter ref="A113:D118" xr:uid="{00000000-0009-0000-0100-000053000000}"/>
  <tableColumns count="4">
    <tableColumn id="1" xr3:uid="{00000000-0010-0000-5000-000001000000}" name="5" totalsRowLabel="Total" dataDxfId="297" totalsRowDxfId="296"/>
    <tableColumn id="2" xr3:uid="{00000000-0010-0000-5000-000002000000}" name="Insumos Diversos" dataDxfId="295"/>
    <tableColumn id="3" xr3:uid="{00000000-0010-0000-5000-000003000000}" name="Comentário" dataDxfId="294"/>
    <tableColumn id="4" xr3:uid="{00000000-0010-0000-5000-000004000000}" name="Valor" totalsRowFunction="custom" totalsRowDxfId="293">
      <calculatedColumnFormula>J113</calculatedColumnFormula>
      <totalsRowFormula>TRUNC(SUM(D114:D118),2)</totalsRowFormula>
    </tableColumn>
  </tableColumns>
  <tableStyleInfo showFirstColumn="0" showLastColumn="0" showRowStripes="1" showColumnStripes="0"/>
</table>
</file>

<file path=xl/tables/table8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4" xr:uid="{00000000-000C-0000-FFFF-FFFF51000000}" name="Módulo663_85" displayName="Módulo663_85" ref="A129:D136" totalsRowCount="1">
  <tableColumns count="4">
    <tableColumn id="1" xr3:uid="{00000000-0010-0000-5100-000001000000}" name="6" totalsRowLabel="Total" dataDxfId="292" totalsRowDxfId="291"/>
    <tableColumn id="2" xr3:uid="{00000000-0010-0000-5100-000002000000}" name="Custos Indiretos, Tributos e Lucro" dataDxfId="290"/>
    <tableColumn id="3" xr3:uid="{00000000-0010-0000-5100-000003000000}" name="Percentual" dataDxfId="289" totalsRowDxfId="288"/>
    <tableColumn id="4" xr3:uid="{00000000-0010-0000-5100-000004000000}" name="Valor" totalsRowFunction="custom" totalsRowDxfId="287">
      <calculatedColumnFormula>TRUNC(($I$133*C130),2)</calculatedColumnFormula>
      <totalsRowFormula>TRUNC(SUM(D130:D132),2)</totalsRowFormula>
    </tableColumn>
  </tableColumns>
  <tableStyleInfo showFirstColumn="0" showLastColumn="0" showRowStripes="1" showColumnStripes="0"/>
</table>
</file>

<file path=xl/tables/table8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5" xr:uid="{00000000-000C-0000-FFFF-FFFF52000000}" name="ResumoMódulo257_86" displayName="ResumoMódulo257_86" ref="A69:D73" totalsRowCount="1">
  <autoFilter ref="A69:D72" xr:uid="{00000000-0009-0000-0100-000055000000}"/>
  <tableColumns count="4">
    <tableColumn id="1" xr3:uid="{00000000-0010-0000-5200-000001000000}" name="2" totalsRowLabel="Total" dataDxfId="286"/>
    <tableColumn id="2" xr3:uid="{00000000-0010-0000-5200-000002000000}" name="Encargos e Benefícios Anuais, Mensais e Diários" dataDxfId="285"/>
    <tableColumn id="3" xr3:uid="{00000000-0010-0000-5200-000003000000}" name="Comentário" dataDxfId="284"/>
    <tableColumn id="4" xr3:uid="{00000000-0010-0000-5200-000004000000}" name="Valor" totalsRowFunction="custom">
      <calculatedColumnFormula>D64</calculatedColumnFormula>
      <totalsRowFormula>TRUNC(SUM(D70:D72),2)</totalsRowFormula>
    </tableColumn>
  </tableColumns>
  <tableStyleInfo showFirstColumn="0" showLastColumn="0" showRowStripes="1" showColumnStripes="0"/>
</table>
</file>

<file path=xl/tables/table8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6" xr:uid="{00000000-000C-0000-FFFF-FFFF53000000}" name="Submódulo2.154_87" displayName="Submódulo2.154_87" ref="A36:D39" totalsRowCount="1">
  <autoFilter ref="A36:D38" xr:uid="{00000000-0009-0000-0100-000056000000}"/>
  <tableColumns count="4">
    <tableColumn id="1" xr3:uid="{00000000-0010-0000-5300-000001000000}" name="2.1" totalsRowLabel="Total" dataDxfId="283"/>
    <tableColumn id="2" xr3:uid="{00000000-0010-0000-5300-000002000000}" name="13º (décimo terceiro) Salário, Férias e Adicional de Férias" dataDxfId="282"/>
    <tableColumn id="3" xr3:uid="{00000000-0010-0000-5300-000003000000}" name="Percentual" dataDxfId="281">
      <calculatedColumnFormula>(((1+1/3)/12))</calculatedColumnFormula>
    </tableColumn>
    <tableColumn id="4" xr3:uid="{00000000-0010-0000-5300-000004000000}" name="Valor" totalsRowFunction="custom">
      <calculatedColumnFormula>TRUNC($D$31*C37,2)</calculatedColumnFormula>
      <totalsRowFormula>TRUNC((SUM(D37:D38)),2)</totalsRowFormula>
    </tableColumn>
  </tableColumns>
  <tableStyleInfo showFirstColumn="0" showLastColumn="0" showRowStripes="1" showColumnStripes="0"/>
</table>
</file>

<file path=xl/tables/table8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7" xr:uid="{00000000-000C-0000-FFFF-FFFF54000000}" name="ResumoMódulo461_88" displayName="ResumoMódulo461_88" ref="A107:D110" totalsRowCount="1">
  <autoFilter ref="A107:D109" xr:uid="{00000000-0009-0000-0100-000057000000}"/>
  <tableColumns count="4">
    <tableColumn id="1" xr3:uid="{00000000-0010-0000-5400-000001000000}" name="4" totalsRowLabel="Total" dataDxfId="280"/>
    <tableColumn id="2" xr3:uid="{00000000-0010-0000-5400-000002000000}" name="Custo de Reposição do Profissional Ausente" dataDxfId="279"/>
    <tableColumn id="3" xr3:uid="{00000000-0010-0000-5400-000003000000}" name="Comentário" totalsRowLabel="*Nota: Se o titular USUFRUIR do descanso intrajornada, o total é o somatório dos subitens 4.1 e 4.2" dataDxfId="278"/>
    <tableColumn id="4" xr3:uid="{00000000-0010-0000-5400-000004000000}" name="Valor" totalsRowFunction="custom">
      <calculatedColumnFormula>Submódulo4.260_81[[#Totals],[Valor]]</calculatedColumnFormula>
      <totalsRowFormula>TRUNC((SUM(D108:D109)),2)</totalsRowFormula>
    </tableColumn>
  </tableColumns>
  <tableStyleInfo showFirstColumn="0" showLastColumn="0" showRowStripes="1" showColumnStripes="0"/>
</table>
</file>

<file path=xl/tables/table8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8" xr:uid="{00000000-000C-0000-FFFF-FFFF55000000}" name="Submódulo2.255_89" displayName="Submódulo2.255_89" ref="A46:D55" totalsRowCount="1">
  <autoFilter ref="A46:D54" xr:uid="{00000000-0009-0000-0100-000058000000}"/>
  <tableColumns count="4">
    <tableColumn id="1" xr3:uid="{00000000-0010-0000-5500-000001000000}" name="2.2" totalsRowLabel="Total" dataDxfId="277" totalsRowDxfId="276"/>
    <tableColumn id="2" xr3:uid="{00000000-0010-0000-5500-000002000000}" name="GPS, FGTS e outras contribuições" dataDxfId="275"/>
    <tableColumn id="3" xr3:uid="{00000000-0010-0000-5500-000003000000}" name="Percentual" totalsRowFunction="custom" totalsRowDxfId="274">
      <totalsRowFormula>SUM(C47:C54)</totalsRowFormula>
    </tableColumn>
    <tableColumn id="4" xr3:uid="{00000000-0010-0000-5500-000004000000}" name="Valor " totalsRowFunction="custom" totalsRowDxfId="273">
      <calculatedColumnFormula>TRUNC(($D$43*C47),2)</calculatedColumnFormula>
      <totalsRowFormula>TRUNC((SUM(D47:D54)),2)</totalsRowFormula>
    </tableColumn>
  </tableColumns>
  <tableStyleInfo showFirstColumn="0" showLastColumn="0" showRowStripes="1" showColumnStripes="0"/>
</table>
</file>

<file path=xl/tables/table8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9" xr:uid="{00000000-000C-0000-FFFF-FFFF56000000}" name="ResumoPosto64_90" displayName="ResumoPosto64_90" ref="A140:D148" totalsRowShown="0">
  <autoFilter ref="A140:D148" xr:uid="{00000000-0009-0000-0100-000059000000}"/>
  <tableColumns count="4">
    <tableColumn id="1" xr3:uid="{00000000-0010-0000-5600-000001000000}" name="Item" dataDxfId="272"/>
    <tableColumn id="2" xr3:uid="{00000000-0010-0000-5600-000002000000}" name="Mão de obra vinculada à execução contratual" dataDxfId="271"/>
    <tableColumn id="3" xr3:uid="{00000000-0010-0000-5600-000003000000}" name="-" dataDxfId="270"/>
    <tableColumn id="4" xr3:uid="{00000000-0010-0000-5600-000004000000}" name="Valor" dataDxfId="269">
      <calculatedColumnFormula>TRUNC((SUM(D134:D138)+D140),2)</calculatedColumnFormula>
    </tableColumn>
  </tableColumns>
  <tableStyleInfo showFirstColumn="0" showLastColumn="0" showRowStripes="1" showColumnStripes="0"/>
</table>
</file>

<file path=xl/tables/table8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6" xr:uid="{00000000-000C-0000-FFFF-FFFF57000000}" name="Módulo663" displayName="Módulo663" ref="A129:D136" totalsRowCount="1">
  <tableColumns count="4">
    <tableColumn id="1" xr3:uid="{00000000-0010-0000-5700-000001000000}" name="6" totalsRowLabel="Total" dataDxfId="268" totalsRowDxfId="267"/>
    <tableColumn id="2" xr3:uid="{00000000-0010-0000-5700-000002000000}" name="Custos Indiretos, Tributos e Lucro" dataDxfId="266"/>
    <tableColumn id="3" xr3:uid="{00000000-0010-0000-5700-000003000000}" name="Percentual" dataDxfId="265" totalsRowDxfId="264"/>
    <tableColumn id="4" xr3:uid="{00000000-0010-0000-5700-000004000000}" name="Valor" totalsRowFunction="custom" totalsRowDxfId="263">
      <calculatedColumnFormula>TRUNC(($I$133*C130),2)</calculatedColumnFormula>
      <totalsRowFormula>TRUNC(SUM(D130:D132),2)</totalsRow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8000000}" name="ResumoMódulo4" displayName="ResumoMódulo4" ref="A108:D111">
  <tableColumns count="4">
    <tableColumn id="1" xr3:uid="{00000000-0010-0000-0800-000001000000}" name="4" totalsRowLabel="Total" dataDxfId="576"/>
    <tableColumn id="2" xr3:uid="{00000000-0010-0000-0800-000002000000}" name="Custo de Reposição do Profissional Ausente" dataDxfId="575"/>
    <tableColumn id="3" xr3:uid="{00000000-0010-0000-0800-000003000000}" name="Comentário" dataDxfId="574"/>
    <tableColumn id="4" xr3:uid="{00000000-0010-0000-0800-000004000000}" name="Valor" dataDxfId="573">
      <calculatedColumnFormula>SUBTOTAL(109,ResumoMódulo4[Valor])</calculatedColumnFormula>
    </tableColumn>
  </tableColumns>
  <tableStyleInfo showFirstColumn="0" showLastColumn="0" showRowStripes="1" showColumnStripes="0"/>
</table>
</file>

<file path=xl/tables/table9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7" xr:uid="{00000000-000C-0000-FFFF-FFFF58000000}" name="ResumoMódulo257" displayName="ResumoMódulo257" ref="A69:D73" totalsRowCount="1">
  <autoFilter ref="A69:D72" xr:uid="{00000000-0009-0000-0100-000075000000}"/>
  <tableColumns count="4">
    <tableColumn id="1" xr3:uid="{00000000-0010-0000-5800-000001000000}" name="2" totalsRowLabel="Total" dataDxfId="262"/>
    <tableColumn id="2" xr3:uid="{00000000-0010-0000-5800-000002000000}" name="Encargos e Benefícios Anuais, Mensais e Diários" dataDxfId="261"/>
    <tableColumn id="3" xr3:uid="{00000000-0010-0000-5800-000003000000}" name="Comentário" dataDxfId="260"/>
    <tableColumn id="4" xr3:uid="{00000000-0010-0000-5800-000004000000}" name="Valor" totalsRowFunction="custom">
      <calculatedColumnFormula>D64</calculatedColumnFormula>
      <totalsRowFormula>TRUNC((SUM(D70:D72)),2)</totalsRowFormula>
    </tableColumn>
  </tableColumns>
  <tableStyleInfo showFirstColumn="0" showLastColumn="0" showRowStripes="1" showColumnStripes="0"/>
</table>
</file>

<file path=xl/tables/table9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8" xr:uid="{00000000-000C-0000-FFFF-FFFF59000000}" name="Submódulo2.154" displayName="Submódulo2.154" ref="A36:D39" totalsRowCount="1">
  <autoFilter ref="A36:D38" xr:uid="{00000000-0009-0000-0100-000076000000}"/>
  <tableColumns count="4">
    <tableColumn id="1" xr3:uid="{00000000-0010-0000-5900-000001000000}" name="2.1" totalsRowLabel="Total" dataDxfId="259"/>
    <tableColumn id="2" xr3:uid="{00000000-0010-0000-5900-000002000000}" name="13º (décimo terceiro) Salário, Férias e Adicional de Férias" dataDxfId="258"/>
    <tableColumn id="3" xr3:uid="{00000000-0010-0000-5900-000003000000}" name="Percentual" dataDxfId="257">
      <calculatedColumnFormula>(((1+1/3)/12))</calculatedColumnFormula>
    </tableColumn>
    <tableColumn id="4" xr3:uid="{00000000-0010-0000-5900-000004000000}" name="Valor" totalsRowFunction="custom">
      <calculatedColumnFormula>TRUNC($D$31*C37,2)</calculatedColumnFormula>
      <totalsRowFormula>TRUNC((SUM(D37:D38)),2)</totalsRowFormula>
    </tableColumn>
  </tableColumns>
  <tableStyleInfo showFirstColumn="0" showLastColumn="0" showRowStripes="1" showColumnStripes="0"/>
</table>
</file>

<file path=xl/tables/table9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9" xr:uid="{00000000-000C-0000-FFFF-FFFF5A000000}" name="ResumoMódulo461" displayName="ResumoMódulo461" ref="A107:D110" totalsRowCount="1">
  <autoFilter ref="A107:D109" xr:uid="{00000000-0009-0000-0100-000077000000}"/>
  <tableColumns count="4">
    <tableColumn id="1" xr3:uid="{00000000-0010-0000-5A00-000001000000}" name="4" totalsRowLabel="Total" dataDxfId="256"/>
    <tableColumn id="2" xr3:uid="{00000000-0010-0000-5A00-000002000000}" name="Custo de Reposição do Profissional Ausente" dataDxfId="255"/>
    <tableColumn id="3" xr3:uid="{00000000-0010-0000-5A00-000003000000}" name="Comentário" totalsRowLabel="*Nota: Se o titular USUFRUIR do descanso intrajornada, o total é o somatório dos subitens 4.1 e 4.2" dataDxfId="254"/>
    <tableColumn id="4" xr3:uid="{00000000-0010-0000-5A00-000004000000}" name="Valor" totalsRowFunction="custom">
      <calculatedColumnFormula>Submódulo4.260[[#Totals],[Valor]]</calculatedColumnFormula>
      <totalsRowFormula>TRUNC((SUM(D108:D109)),2)</totalsRowFormula>
    </tableColumn>
  </tableColumns>
  <tableStyleInfo showFirstColumn="0" showLastColumn="0" showRowStripes="1" showColumnStripes="0"/>
</table>
</file>

<file path=xl/tables/table9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0" xr:uid="{00000000-000C-0000-FFFF-FFFF5B000000}" name="Submódulo2.255" displayName="Submódulo2.255" ref="A46:D55" totalsRowCount="1">
  <autoFilter ref="A46:D54" xr:uid="{00000000-0009-0000-0100-000078000000}"/>
  <tableColumns count="4">
    <tableColumn id="1" xr3:uid="{00000000-0010-0000-5B00-000001000000}" name="2.2" totalsRowLabel="Total" dataDxfId="253" totalsRowDxfId="252"/>
    <tableColumn id="2" xr3:uid="{00000000-0010-0000-5B00-000002000000}" name="GPS, FGTS e outras contribuições" dataDxfId="251"/>
    <tableColumn id="3" xr3:uid="{00000000-0010-0000-5B00-000003000000}" name="Percentual" totalsRowFunction="custom" totalsRowDxfId="250">
      <totalsRowFormula>SUM(C47:C54)</totalsRowFormula>
    </tableColumn>
    <tableColumn id="4" xr3:uid="{00000000-0010-0000-5B00-000004000000}" name="Valor " totalsRowFunction="custom" totalsRowDxfId="249">
      <calculatedColumnFormula>TRUNC(($D$43*C47),2)</calculatedColumnFormula>
      <totalsRowFormula>TRUNC((SUM(D47:D54)),2)</totalsRowFormula>
    </tableColumn>
  </tableColumns>
  <tableStyleInfo showFirstColumn="0" showLastColumn="0" showRowStripes="1" showColumnStripes="0"/>
</table>
</file>

<file path=xl/tables/table9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1" xr:uid="{00000000-000C-0000-FFFF-FFFF5C000000}" name="ResumoPosto64" displayName="ResumoPosto64" ref="A140:D148" totalsRowShown="0">
  <autoFilter ref="A140:D148" xr:uid="{00000000-0009-0000-0100-000079000000}"/>
  <tableColumns count="4">
    <tableColumn id="1" xr3:uid="{00000000-0010-0000-5C00-000001000000}" name="Item" dataDxfId="248"/>
    <tableColumn id="2" xr3:uid="{00000000-0010-0000-5C00-000002000000}" name="Mão de obra vinculada à execução contratual" dataDxfId="247"/>
    <tableColumn id="3" xr3:uid="{00000000-0010-0000-5C00-000003000000}" name="-" dataDxfId="246"/>
    <tableColumn id="4" xr3:uid="{00000000-0010-0000-5C00-000004000000}" name="Valor" dataDxfId="245">
      <calculatedColumnFormula>TRUNC((SUM(D134:D138)+D140),2)</calculatedColumnFormula>
    </tableColumn>
  </tableColumns>
  <tableStyleInfo showFirstColumn="0" showLastColumn="0" showRowStripes="1" showColumnStripes="0"/>
</table>
</file>

<file path=xl/tables/table9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2" xr:uid="{00000000-000C-0000-FFFF-FFFF5D000000}" name="Módulo153" displayName="Módulo153" ref="A24:D31" totalsRowCount="1">
  <autoFilter ref="A24:D30" xr:uid="{00000000-0009-0000-0100-00007A000000}"/>
  <tableColumns count="4">
    <tableColumn id="1" xr3:uid="{00000000-0010-0000-5D00-000001000000}" name="1" totalsRowLabel="Total" dataDxfId="244"/>
    <tableColumn id="2" xr3:uid="{00000000-0010-0000-5D00-000002000000}" name="Composição da Remuneração" dataDxfId="243"/>
    <tableColumn id="3" xr3:uid="{00000000-0010-0000-5D00-000003000000}" name="Comentário" dataDxfId="242"/>
    <tableColumn id="4" xr3:uid="{00000000-0010-0000-5D00-000004000000}" name="Valor" totalsRowFunction="custom">
      <totalsRowFormula>TRUNC((SUM(D25:D30)),2)</totalsRowFormula>
    </tableColumn>
  </tableColumns>
  <tableStyleInfo showFirstColumn="0" showLastColumn="0" showRowStripes="1" showColumnStripes="0"/>
</table>
</file>

<file path=xl/tables/table9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3" xr:uid="{00000000-000C-0000-FFFF-FFFF5E000000}" name="Submódulo2.356" displayName="Submódulo2.356" ref="A58:D66" totalsRowCount="1">
  <autoFilter ref="A58:D65" xr:uid="{00000000-0009-0000-0100-00007B000000}"/>
  <tableColumns count="4">
    <tableColumn id="1" xr3:uid="{00000000-0010-0000-5E00-000001000000}" name="2.3" totalsRowLabel="Total" dataDxfId="241"/>
    <tableColumn id="2" xr3:uid="{00000000-0010-0000-5E00-000002000000}" name="Benefícios Mensais e Diários" dataDxfId="240"/>
    <tableColumn id="3" xr3:uid="{00000000-0010-0000-5E00-000003000000}" name="Comentário" dataDxfId="239">
      <calculatedColumnFormula>C54</calculatedColumnFormula>
    </tableColumn>
    <tableColumn id="4" xr3:uid="{00000000-0010-0000-5E00-000004000000}" name="Valor" totalsRowFunction="custom">
      <totalsRowFormula>TRUNC((SUM(D59:D65)),2)</totalsRowFormula>
    </tableColumn>
  </tableColumns>
  <tableStyleInfo showFirstColumn="0" showLastColumn="0" showRowStripes="1" showColumnStripes="0"/>
</table>
</file>

<file path=xl/tables/table9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4" xr:uid="{00000000-000C-0000-FFFF-FFFF5F000000}" name="Submódulo4.159" displayName="Submódulo4.159" ref="A92:D99" totalsRowCount="1">
  <autoFilter ref="A92:D98" xr:uid="{00000000-0009-0000-0100-00007C000000}"/>
  <tableColumns count="4">
    <tableColumn id="1" xr3:uid="{00000000-0010-0000-5F00-000001000000}" name="4.1" totalsRowLabel="Total" dataDxfId="238"/>
    <tableColumn id="2" xr3:uid="{00000000-0010-0000-5F00-000002000000}" name="Substituto nas Ausências Legais" dataDxfId="237"/>
    <tableColumn id="3" xr3:uid="{00000000-0010-0000-5F00-000003000000}" name="Percentual" totalsRowFunction="sum" dataDxfId="236"/>
    <tableColumn id="4" xr3:uid="{00000000-0010-0000-5F00-000004000000}" name="Valor" totalsRowFunction="custom">
      <calculatedColumnFormula>TRUNC($D$88*C93)</calculatedColumnFormula>
      <totalsRowFormula>TRUNC((SUM(D93:D98)),2)</totalsRowFormula>
    </tableColumn>
  </tableColumns>
  <tableStyleInfo showFirstColumn="0" showLastColumn="0" showRowStripes="1" showColumnStripes="0"/>
</table>
</file>

<file path=xl/tables/table9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5" xr:uid="{00000000-000C-0000-FFFF-FFFF60000000}" name="Submódulo4.260" displayName="Submódulo4.260" ref="A102:D104" totalsRowCount="1">
  <autoFilter ref="A102:D103" xr:uid="{00000000-0009-0000-0100-00007D000000}"/>
  <tableColumns count="4">
    <tableColumn id="1" xr3:uid="{00000000-0010-0000-6000-000001000000}" name="4.2" totalsRowLabel="Total" dataDxfId="235"/>
    <tableColumn id="2" xr3:uid="{00000000-0010-0000-6000-000002000000}" name="Substituto na Intrajornada " dataDxfId="234"/>
    <tableColumn id="3" xr3:uid="{00000000-0010-0000-6000-000003000000}" name="Comentário" dataDxfId="233"/>
    <tableColumn id="4" xr3:uid="{00000000-0010-0000-6000-000004000000}" name="Valor" totalsRowFunction="custom">
      <totalsRowFormula>D103</totalsRowFormula>
    </tableColumn>
  </tableColumns>
  <tableStyleInfo showFirstColumn="0" showLastColumn="0" showRowStripes="1" showColumnStripes="0"/>
</table>
</file>

<file path=xl/tables/table9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6" xr:uid="{00000000-000C-0000-FFFF-FFFF61000000}" name="Table452" displayName="Table452" ref="A16:D21" totalsRowShown="0">
  <tableColumns count="4">
    <tableColumn id="1" xr3:uid="{00000000-0010-0000-6100-000001000000}" name="Item" dataDxfId="232"/>
    <tableColumn id="2" xr3:uid="{00000000-0010-0000-6100-000002000000}" name="Descrição" dataDxfId="231"/>
    <tableColumn id="3" xr3:uid="{00000000-0010-0000-6100-000003000000}" name="Comentário" dataDxfId="230">
      <calculatedColumnFormula>C5</calculatedColumnFormula>
    </tableColumn>
    <tableColumn id="4" xr3:uid="{00000000-0010-0000-6100-000004000000}" name="Valor" dataDxfId="229"/>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table" Target="../tables/table108.xml"/><Relationship Id="rId13" Type="http://schemas.openxmlformats.org/officeDocument/2006/relationships/table" Target="../tables/table113.xml"/><Relationship Id="rId3" Type="http://schemas.openxmlformats.org/officeDocument/2006/relationships/table" Target="../tables/table103.xml"/><Relationship Id="rId7" Type="http://schemas.openxmlformats.org/officeDocument/2006/relationships/table" Target="../tables/table107.xml"/><Relationship Id="rId12" Type="http://schemas.openxmlformats.org/officeDocument/2006/relationships/table" Target="../tables/table112.xml"/><Relationship Id="rId2" Type="http://schemas.openxmlformats.org/officeDocument/2006/relationships/table" Target="../tables/table102.xml"/><Relationship Id="rId1" Type="http://schemas.openxmlformats.org/officeDocument/2006/relationships/printerSettings" Target="../printerSettings/printerSettings10.bin"/><Relationship Id="rId6" Type="http://schemas.openxmlformats.org/officeDocument/2006/relationships/table" Target="../tables/table106.xml"/><Relationship Id="rId11" Type="http://schemas.openxmlformats.org/officeDocument/2006/relationships/table" Target="../tables/table111.xml"/><Relationship Id="rId5" Type="http://schemas.openxmlformats.org/officeDocument/2006/relationships/table" Target="../tables/table105.xml"/><Relationship Id="rId10" Type="http://schemas.openxmlformats.org/officeDocument/2006/relationships/table" Target="../tables/table110.xml"/><Relationship Id="rId4" Type="http://schemas.openxmlformats.org/officeDocument/2006/relationships/table" Target="../tables/table104.xml"/><Relationship Id="rId9" Type="http://schemas.openxmlformats.org/officeDocument/2006/relationships/table" Target="../tables/table109.xml"/><Relationship Id="rId14" Type="http://schemas.openxmlformats.org/officeDocument/2006/relationships/table" Target="../tables/table114.xml"/></Relationships>
</file>

<file path=xl/worksheets/_rels/sheet11.xml.rels><?xml version="1.0" encoding="UTF-8" standalone="yes"?>
<Relationships xmlns="http://schemas.openxmlformats.org/package/2006/relationships"><Relationship Id="rId8" Type="http://schemas.openxmlformats.org/officeDocument/2006/relationships/table" Target="../tables/table121.xml"/><Relationship Id="rId13" Type="http://schemas.openxmlformats.org/officeDocument/2006/relationships/table" Target="../tables/table126.xml"/><Relationship Id="rId3" Type="http://schemas.openxmlformats.org/officeDocument/2006/relationships/table" Target="../tables/table116.xml"/><Relationship Id="rId7" Type="http://schemas.openxmlformats.org/officeDocument/2006/relationships/table" Target="../tables/table120.xml"/><Relationship Id="rId12" Type="http://schemas.openxmlformats.org/officeDocument/2006/relationships/table" Target="../tables/table125.xml"/><Relationship Id="rId2" Type="http://schemas.openxmlformats.org/officeDocument/2006/relationships/table" Target="../tables/table115.xml"/><Relationship Id="rId1" Type="http://schemas.openxmlformats.org/officeDocument/2006/relationships/printerSettings" Target="../printerSettings/printerSettings11.bin"/><Relationship Id="rId6" Type="http://schemas.openxmlformats.org/officeDocument/2006/relationships/table" Target="../tables/table119.xml"/><Relationship Id="rId11" Type="http://schemas.openxmlformats.org/officeDocument/2006/relationships/table" Target="../tables/table124.xml"/><Relationship Id="rId5" Type="http://schemas.openxmlformats.org/officeDocument/2006/relationships/table" Target="../tables/table118.xml"/><Relationship Id="rId10" Type="http://schemas.openxmlformats.org/officeDocument/2006/relationships/table" Target="../tables/table123.xml"/><Relationship Id="rId4" Type="http://schemas.openxmlformats.org/officeDocument/2006/relationships/table" Target="../tables/table117.xml"/><Relationship Id="rId9" Type="http://schemas.openxmlformats.org/officeDocument/2006/relationships/table" Target="../tables/table122.xml"/><Relationship Id="rId14" Type="http://schemas.openxmlformats.org/officeDocument/2006/relationships/table" Target="../tables/table127.xml"/></Relationships>
</file>

<file path=xl/worksheets/_rels/sheet12.xml.rels><?xml version="1.0" encoding="UTF-8" standalone="yes"?>
<Relationships xmlns="http://schemas.openxmlformats.org/package/2006/relationships"><Relationship Id="rId8" Type="http://schemas.openxmlformats.org/officeDocument/2006/relationships/table" Target="../tables/table134.xml"/><Relationship Id="rId13" Type="http://schemas.openxmlformats.org/officeDocument/2006/relationships/table" Target="../tables/table139.xml"/><Relationship Id="rId3" Type="http://schemas.openxmlformats.org/officeDocument/2006/relationships/table" Target="../tables/table129.xml"/><Relationship Id="rId7" Type="http://schemas.openxmlformats.org/officeDocument/2006/relationships/table" Target="../tables/table133.xml"/><Relationship Id="rId12" Type="http://schemas.openxmlformats.org/officeDocument/2006/relationships/table" Target="../tables/table138.xml"/><Relationship Id="rId2" Type="http://schemas.openxmlformats.org/officeDocument/2006/relationships/table" Target="../tables/table128.xml"/><Relationship Id="rId1" Type="http://schemas.openxmlformats.org/officeDocument/2006/relationships/printerSettings" Target="../printerSettings/printerSettings12.bin"/><Relationship Id="rId6" Type="http://schemas.openxmlformats.org/officeDocument/2006/relationships/table" Target="../tables/table132.xml"/><Relationship Id="rId11" Type="http://schemas.openxmlformats.org/officeDocument/2006/relationships/table" Target="../tables/table137.xml"/><Relationship Id="rId5" Type="http://schemas.openxmlformats.org/officeDocument/2006/relationships/table" Target="../tables/table131.xml"/><Relationship Id="rId10" Type="http://schemas.openxmlformats.org/officeDocument/2006/relationships/table" Target="../tables/table136.xml"/><Relationship Id="rId4" Type="http://schemas.openxmlformats.org/officeDocument/2006/relationships/table" Target="../tables/table130.xml"/><Relationship Id="rId9" Type="http://schemas.openxmlformats.org/officeDocument/2006/relationships/table" Target="../tables/table135.xml"/><Relationship Id="rId14" Type="http://schemas.openxmlformats.org/officeDocument/2006/relationships/table" Target="../tables/table140.xml"/></Relationships>
</file>

<file path=xl/worksheets/_rels/sheet13.xml.rels><?xml version="1.0" encoding="UTF-8" standalone="yes"?>
<Relationships xmlns="http://schemas.openxmlformats.org/package/2006/relationships"><Relationship Id="rId8" Type="http://schemas.openxmlformats.org/officeDocument/2006/relationships/table" Target="../tables/table147.xml"/><Relationship Id="rId13" Type="http://schemas.openxmlformats.org/officeDocument/2006/relationships/table" Target="../tables/table152.xml"/><Relationship Id="rId3" Type="http://schemas.openxmlformats.org/officeDocument/2006/relationships/table" Target="../tables/table142.xml"/><Relationship Id="rId7" Type="http://schemas.openxmlformats.org/officeDocument/2006/relationships/table" Target="../tables/table146.xml"/><Relationship Id="rId12" Type="http://schemas.openxmlformats.org/officeDocument/2006/relationships/table" Target="../tables/table151.xml"/><Relationship Id="rId2" Type="http://schemas.openxmlformats.org/officeDocument/2006/relationships/table" Target="../tables/table141.xml"/><Relationship Id="rId1" Type="http://schemas.openxmlformats.org/officeDocument/2006/relationships/printerSettings" Target="../printerSettings/printerSettings13.bin"/><Relationship Id="rId6" Type="http://schemas.openxmlformats.org/officeDocument/2006/relationships/table" Target="../tables/table145.xml"/><Relationship Id="rId11" Type="http://schemas.openxmlformats.org/officeDocument/2006/relationships/table" Target="../tables/table150.xml"/><Relationship Id="rId5" Type="http://schemas.openxmlformats.org/officeDocument/2006/relationships/table" Target="../tables/table144.xml"/><Relationship Id="rId10" Type="http://schemas.openxmlformats.org/officeDocument/2006/relationships/table" Target="../tables/table149.xml"/><Relationship Id="rId4" Type="http://schemas.openxmlformats.org/officeDocument/2006/relationships/table" Target="../tables/table143.xml"/><Relationship Id="rId9" Type="http://schemas.openxmlformats.org/officeDocument/2006/relationships/table" Target="../tables/table148.xml"/><Relationship Id="rId14" Type="http://schemas.openxmlformats.org/officeDocument/2006/relationships/table" Target="../tables/table153.xml"/></Relationships>
</file>

<file path=xl/worksheets/_rels/sheet14.xml.rels><?xml version="1.0" encoding="UTF-8" standalone="yes"?>
<Relationships xmlns="http://schemas.openxmlformats.org/package/2006/relationships"><Relationship Id="rId3" Type="http://schemas.openxmlformats.org/officeDocument/2006/relationships/table" Target="../tables/table155.xml"/><Relationship Id="rId2" Type="http://schemas.openxmlformats.org/officeDocument/2006/relationships/table" Target="../tables/table154.xml"/><Relationship Id="rId1" Type="http://schemas.openxmlformats.org/officeDocument/2006/relationships/printerSettings" Target="../printerSettings/printerSettings14.bin"/><Relationship Id="rId4" Type="http://schemas.openxmlformats.org/officeDocument/2006/relationships/table" Target="../tables/table156.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8" Type="http://schemas.openxmlformats.org/officeDocument/2006/relationships/table" Target="../tables/table6.xml"/><Relationship Id="rId13" Type="http://schemas.openxmlformats.org/officeDocument/2006/relationships/table" Target="../tables/table11.xml"/><Relationship Id="rId18" Type="http://schemas.openxmlformats.org/officeDocument/2006/relationships/table" Target="../tables/table16.xml"/><Relationship Id="rId3" Type="http://schemas.openxmlformats.org/officeDocument/2006/relationships/table" Target="../tables/table1.xml"/><Relationship Id="rId21" Type="http://schemas.openxmlformats.org/officeDocument/2006/relationships/table" Target="../tables/table19.xml"/><Relationship Id="rId7" Type="http://schemas.openxmlformats.org/officeDocument/2006/relationships/table" Target="../tables/table5.xml"/><Relationship Id="rId12" Type="http://schemas.openxmlformats.org/officeDocument/2006/relationships/table" Target="../tables/table10.xml"/><Relationship Id="rId17" Type="http://schemas.openxmlformats.org/officeDocument/2006/relationships/table" Target="../tables/table15.xml"/><Relationship Id="rId25" Type="http://schemas.openxmlformats.org/officeDocument/2006/relationships/comments" Target="../comments1.xml"/><Relationship Id="rId2" Type="http://schemas.openxmlformats.org/officeDocument/2006/relationships/vmlDrawing" Target="../drawings/vmlDrawing1.vml"/><Relationship Id="rId16" Type="http://schemas.openxmlformats.org/officeDocument/2006/relationships/table" Target="../tables/table14.xml"/><Relationship Id="rId20" Type="http://schemas.openxmlformats.org/officeDocument/2006/relationships/table" Target="../tables/table18.xml"/><Relationship Id="rId1" Type="http://schemas.openxmlformats.org/officeDocument/2006/relationships/printerSettings" Target="../printerSettings/printerSettings2.bin"/><Relationship Id="rId6" Type="http://schemas.openxmlformats.org/officeDocument/2006/relationships/table" Target="../tables/table4.xml"/><Relationship Id="rId11" Type="http://schemas.openxmlformats.org/officeDocument/2006/relationships/table" Target="../tables/table9.xml"/><Relationship Id="rId24" Type="http://schemas.openxmlformats.org/officeDocument/2006/relationships/table" Target="../tables/table22.xml"/><Relationship Id="rId5" Type="http://schemas.openxmlformats.org/officeDocument/2006/relationships/table" Target="../tables/table3.xml"/><Relationship Id="rId15" Type="http://schemas.openxmlformats.org/officeDocument/2006/relationships/table" Target="../tables/table13.xml"/><Relationship Id="rId23" Type="http://schemas.openxmlformats.org/officeDocument/2006/relationships/table" Target="../tables/table21.xml"/><Relationship Id="rId10" Type="http://schemas.openxmlformats.org/officeDocument/2006/relationships/table" Target="../tables/table8.xml"/><Relationship Id="rId19" Type="http://schemas.openxmlformats.org/officeDocument/2006/relationships/table" Target="../tables/table17.xml"/><Relationship Id="rId4" Type="http://schemas.openxmlformats.org/officeDocument/2006/relationships/table" Target="../tables/table2.xml"/><Relationship Id="rId9" Type="http://schemas.openxmlformats.org/officeDocument/2006/relationships/table" Target="../tables/table7.xml"/><Relationship Id="rId14" Type="http://schemas.openxmlformats.org/officeDocument/2006/relationships/table" Target="../tables/table12.xml"/><Relationship Id="rId22"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table" Target="../tables/table30.xml"/><Relationship Id="rId13" Type="http://schemas.openxmlformats.org/officeDocument/2006/relationships/table" Target="../tables/table35.xml"/><Relationship Id="rId3" Type="http://schemas.openxmlformats.org/officeDocument/2006/relationships/table" Target="../tables/table25.xml"/><Relationship Id="rId7" Type="http://schemas.openxmlformats.org/officeDocument/2006/relationships/table" Target="../tables/table29.xml"/><Relationship Id="rId12" Type="http://schemas.openxmlformats.org/officeDocument/2006/relationships/table" Target="../tables/table34.xml"/><Relationship Id="rId2" Type="http://schemas.openxmlformats.org/officeDocument/2006/relationships/table" Target="../tables/table24.xml"/><Relationship Id="rId1" Type="http://schemas.openxmlformats.org/officeDocument/2006/relationships/printerSettings" Target="../printerSettings/printerSettings4.bin"/><Relationship Id="rId6" Type="http://schemas.openxmlformats.org/officeDocument/2006/relationships/table" Target="../tables/table28.xml"/><Relationship Id="rId11" Type="http://schemas.openxmlformats.org/officeDocument/2006/relationships/table" Target="../tables/table33.xml"/><Relationship Id="rId5" Type="http://schemas.openxmlformats.org/officeDocument/2006/relationships/table" Target="../tables/table27.xml"/><Relationship Id="rId10" Type="http://schemas.openxmlformats.org/officeDocument/2006/relationships/table" Target="../tables/table32.xml"/><Relationship Id="rId4" Type="http://schemas.openxmlformats.org/officeDocument/2006/relationships/table" Target="../tables/table26.xml"/><Relationship Id="rId9" Type="http://schemas.openxmlformats.org/officeDocument/2006/relationships/table" Target="../tables/table31.xml"/><Relationship Id="rId14" Type="http://schemas.openxmlformats.org/officeDocument/2006/relationships/table" Target="../tables/table36.xml"/></Relationships>
</file>

<file path=xl/worksheets/_rels/sheet5.xml.rels><?xml version="1.0" encoding="UTF-8" standalone="yes"?>
<Relationships xmlns="http://schemas.openxmlformats.org/package/2006/relationships"><Relationship Id="rId8" Type="http://schemas.openxmlformats.org/officeDocument/2006/relationships/table" Target="../tables/table43.xml"/><Relationship Id="rId13" Type="http://schemas.openxmlformats.org/officeDocument/2006/relationships/table" Target="../tables/table48.xml"/><Relationship Id="rId3" Type="http://schemas.openxmlformats.org/officeDocument/2006/relationships/table" Target="../tables/table38.xml"/><Relationship Id="rId7" Type="http://schemas.openxmlformats.org/officeDocument/2006/relationships/table" Target="../tables/table42.xml"/><Relationship Id="rId12" Type="http://schemas.openxmlformats.org/officeDocument/2006/relationships/table" Target="../tables/table47.xml"/><Relationship Id="rId2" Type="http://schemas.openxmlformats.org/officeDocument/2006/relationships/table" Target="../tables/table37.xml"/><Relationship Id="rId1" Type="http://schemas.openxmlformats.org/officeDocument/2006/relationships/printerSettings" Target="../printerSettings/printerSettings5.bin"/><Relationship Id="rId6" Type="http://schemas.openxmlformats.org/officeDocument/2006/relationships/table" Target="../tables/table41.xml"/><Relationship Id="rId11" Type="http://schemas.openxmlformats.org/officeDocument/2006/relationships/table" Target="../tables/table46.xml"/><Relationship Id="rId5" Type="http://schemas.openxmlformats.org/officeDocument/2006/relationships/table" Target="../tables/table40.xml"/><Relationship Id="rId10" Type="http://schemas.openxmlformats.org/officeDocument/2006/relationships/table" Target="../tables/table45.xml"/><Relationship Id="rId4" Type="http://schemas.openxmlformats.org/officeDocument/2006/relationships/table" Target="../tables/table39.xml"/><Relationship Id="rId9" Type="http://schemas.openxmlformats.org/officeDocument/2006/relationships/table" Target="../tables/table44.xml"/><Relationship Id="rId14" Type="http://schemas.openxmlformats.org/officeDocument/2006/relationships/table" Target="../tables/table49.xml"/></Relationships>
</file>

<file path=xl/worksheets/_rels/sheet6.xml.rels><?xml version="1.0" encoding="UTF-8" standalone="yes"?>
<Relationships xmlns="http://schemas.openxmlformats.org/package/2006/relationships"><Relationship Id="rId8" Type="http://schemas.openxmlformats.org/officeDocument/2006/relationships/table" Target="../tables/table56.xml"/><Relationship Id="rId13" Type="http://schemas.openxmlformats.org/officeDocument/2006/relationships/table" Target="../tables/table61.xml"/><Relationship Id="rId3" Type="http://schemas.openxmlformats.org/officeDocument/2006/relationships/table" Target="../tables/table51.xml"/><Relationship Id="rId7" Type="http://schemas.openxmlformats.org/officeDocument/2006/relationships/table" Target="../tables/table55.xml"/><Relationship Id="rId12" Type="http://schemas.openxmlformats.org/officeDocument/2006/relationships/table" Target="../tables/table60.xml"/><Relationship Id="rId2" Type="http://schemas.openxmlformats.org/officeDocument/2006/relationships/table" Target="../tables/table50.xml"/><Relationship Id="rId1" Type="http://schemas.openxmlformats.org/officeDocument/2006/relationships/printerSettings" Target="../printerSettings/printerSettings6.bin"/><Relationship Id="rId6" Type="http://schemas.openxmlformats.org/officeDocument/2006/relationships/table" Target="../tables/table54.xml"/><Relationship Id="rId11" Type="http://schemas.openxmlformats.org/officeDocument/2006/relationships/table" Target="../tables/table59.xml"/><Relationship Id="rId5" Type="http://schemas.openxmlformats.org/officeDocument/2006/relationships/table" Target="../tables/table53.xml"/><Relationship Id="rId10" Type="http://schemas.openxmlformats.org/officeDocument/2006/relationships/table" Target="../tables/table58.xml"/><Relationship Id="rId4" Type="http://schemas.openxmlformats.org/officeDocument/2006/relationships/table" Target="../tables/table52.xml"/><Relationship Id="rId9" Type="http://schemas.openxmlformats.org/officeDocument/2006/relationships/table" Target="../tables/table57.xml"/><Relationship Id="rId14" Type="http://schemas.openxmlformats.org/officeDocument/2006/relationships/table" Target="../tables/table62.xml"/></Relationships>
</file>

<file path=xl/worksheets/_rels/sheet7.xml.rels><?xml version="1.0" encoding="UTF-8" standalone="yes"?>
<Relationships xmlns="http://schemas.openxmlformats.org/package/2006/relationships"><Relationship Id="rId8" Type="http://schemas.openxmlformats.org/officeDocument/2006/relationships/table" Target="../tables/table69.xml"/><Relationship Id="rId13" Type="http://schemas.openxmlformats.org/officeDocument/2006/relationships/table" Target="../tables/table74.xml"/><Relationship Id="rId3" Type="http://schemas.openxmlformats.org/officeDocument/2006/relationships/table" Target="../tables/table64.xml"/><Relationship Id="rId7" Type="http://schemas.openxmlformats.org/officeDocument/2006/relationships/table" Target="../tables/table68.xml"/><Relationship Id="rId12" Type="http://schemas.openxmlformats.org/officeDocument/2006/relationships/table" Target="../tables/table73.xml"/><Relationship Id="rId2" Type="http://schemas.openxmlformats.org/officeDocument/2006/relationships/table" Target="../tables/table63.xml"/><Relationship Id="rId1" Type="http://schemas.openxmlformats.org/officeDocument/2006/relationships/printerSettings" Target="../printerSettings/printerSettings7.bin"/><Relationship Id="rId6" Type="http://schemas.openxmlformats.org/officeDocument/2006/relationships/table" Target="../tables/table67.xml"/><Relationship Id="rId11" Type="http://schemas.openxmlformats.org/officeDocument/2006/relationships/table" Target="../tables/table72.xml"/><Relationship Id="rId5" Type="http://schemas.openxmlformats.org/officeDocument/2006/relationships/table" Target="../tables/table66.xml"/><Relationship Id="rId10" Type="http://schemas.openxmlformats.org/officeDocument/2006/relationships/table" Target="../tables/table71.xml"/><Relationship Id="rId4" Type="http://schemas.openxmlformats.org/officeDocument/2006/relationships/table" Target="../tables/table65.xml"/><Relationship Id="rId9" Type="http://schemas.openxmlformats.org/officeDocument/2006/relationships/table" Target="../tables/table70.xml"/><Relationship Id="rId14" Type="http://schemas.openxmlformats.org/officeDocument/2006/relationships/table" Target="../tables/table75.xml"/></Relationships>
</file>

<file path=xl/worksheets/_rels/sheet8.xml.rels><?xml version="1.0" encoding="UTF-8" standalone="yes"?>
<Relationships xmlns="http://schemas.openxmlformats.org/package/2006/relationships"><Relationship Id="rId8" Type="http://schemas.openxmlformats.org/officeDocument/2006/relationships/table" Target="../tables/table82.xml"/><Relationship Id="rId13" Type="http://schemas.openxmlformats.org/officeDocument/2006/relationships/table" Target="../tables/table87.xml"/><Relationship Id="rId3" Type="http://schemas.openxmlformats.org/officeDocument/2006/relationships/table" Target="../tables/table77.xml"/><Relationship Id="rId7" Type="http://schemas.openxmlformats.org/officeDocument/2006/relationships/table" Target="../tables/table81.xml"/><Relationship Id="rId12" Type="http://schemas.openxmlformats.org/officeDocument/2006/relationships/table" Target="../tables/table86.xml"/><Relationship Id="rId2" Type="http://schemas.openxmlformats.org/officeDocument/2006/relationships/table" Target="../tables/table76.xml"/><Relationship Id="rId1" Type="http://schemas.openxmlformats.org/officeDocument/2006/relationships/printerSettings" Target="../printerSettings/printerSettings8.bin"/><Relationship Id="rId6" Type="http://schemas.openxmlformats.org/officeDocument/2006/relationships/table" Target="../tables/table80.xml"/><Relationship Id="rId11" Type="http://schemas.openxmlformats.org/officeDocument/2006/relationships/table" Target="../tables/table85.xml"/><Relationship Id="rId5" Type="http://schemas.openxmlformats.org/officeDocument/2006/relationships/table" Target="../tables/table79.xml"/><Relationship Id="rId10" Type="http://schemas.openxmlformats.org/officeDocument/2006/relationships/table" Target="../tables/table84.xml"/><Relationship Id="rId4" Type="http://schemas.openxmlformats.org/officeDocument/2006/relationships/table" Target="../tables/table78.xml"/><Relationship Id="rId9" Type="http://schemas.openxmlformats.org/officeDocument/2006/relationships/table" Target="../tables/table83.xml"/><Relationship Id="rId14" Type="http://schemas.openxmlformats.org/officeDocument/2006/relationships/table" Target="../tables/table88.xml"/></Relationships>
</file>

<file path=xl/worksheets/_rels/sheet9.xml.rels><?xml version="1.0" encoding="UTF-8" standalone="yes"?>
<Relationships xmlns="http://schemas.openxmlformats.org/package/2006/relationships"><Relationship Id="rId8" Type="http://schemas.openxmlformats.org/officeDocument/2006/relationships/table" Target="../tables/table95.xml"/><Relationship Id="rId13" Type="http://schemas.openxmlformats.org/officeDocument/2006/relationships/table" Target="../tables/table100.xml"/><Relationship Id="rId3" Type="http://schemas.openxmlformats.org/officeDocument/2006/relationships/table" Target="../tables/table90.xml"/><Relationship Id="rId7" Type="http://schemas.openxmlformats.org/officeDocument/2006/relationships/table" Target="../tables/table94.xml"/><Relationship Id="rId12" Type="http://schemas.openxmlformats.org/officeDocument/2006/relationships/table" Target="../tables/table99.xml"/><Relationship Id="rId2" Type="http://schemas.openxmlformats.org/officeDocument/2006/relationships/table" Target="../tables/table89.xml"/><Relationship Id="rId1" Type="http://schemas.openxmlformats.org/officeDocument/2006/relationships/printerSettings" Target="../printerSettings/printerSettings9.bin"/><Relationship Id="rId6" Type="http://schemas.openxmlformats.org/officeDocument/2006/relationships/table" Target="../tables/table93.xml"/><Relationship Id="rId11" Type="http://schemas.openxmlformats.org/officeDocument/2006/relationships/table" Target="../tables/table98.xml"/><Relationship Id="rId5" Type="http://schemas.openxmlformats.org/officeDocument/2006/relationships/table" Target="../tables/table92.xml"/><Relationship Id="rId10" Type="http://schemas.openxmlformats.org/officeDocument/2006/relationships/table" Target="../tables/table97.xml"/><Relationship Id="rId4" Type="http://schemas.openxmlformats.org/officeDocument/2006/relationships/table" Target="../tables/table91.xml"/><Relationship Id="rId9" Type="http://schemas.openxmlformats.org/officeDocument/2006/relationships/table" Target="../tables/table96.xml"/><Relationship Id="rId14" Type="http://schemas.openxmlformats.org/officeDocument/2006/relationships/table" Target="../tables/table10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4"/>
  <sheetViews>
    <sheetView showGridLines="0" workbookViewId="0">
      <selection sqref="A1:K1"/>
    </sheetView>
  </sheetViews>
  <sheetFormatPr defaultColWidth="9" defaultRowHeight="15"/>
  <cols>
    <col min="1" max="1025" width="9" customWidth="1"/>
  </cols>
  <sheetData>
    <row r="1" spans="1:11">
      <c r="A1" s="182" t="s">
        <v>0</v>
      </c>
      <c r="B1" s="182"/>
      <c r="C1" s="182"/>
      <c r="D1" s="182"/>
      <c r="E1" s="182"/>
      <c r="F1" s="182"/>
      <c r="G1" s="182"/>
      <c r="H1" s="182"/>
      <c r="I1" s="182"/>
      <c r="J1" s="182"/>
      <c r="K1" s="182"/>
    </row>
    <row r="2" spans="1:11" ht="57" customHeight="1">
      <c r="A2" s="181" t="s">
        <v>1</v>
      </c>
      <c r="B2" s="181"/>
      <c r="C2" s="181"/>
      <c r="D2" s="181"/>
      <c r="E2" s="181"/>
      <c r="F2" s="181"/>
      <c r="G2" s="181"/>
      <c r="H2" s="181"/>
      <c r="I2" s="181"/>
      <c r="J2" s="181"/>
      <c r="K2" s="181"/>
    </row>
    <row r="3" spans="1:11" ht="51" customHeight="1">
      <c r="A3" s="181" t="s">
        <v>2</v>
      </c>
      <c r="B3" s="181"/>
      <c r="C3" s="181"/>
      <c r="D3" s="181"/>
      <c r="E3" s="181"/>
      <c r="F3" s="181"/>
      <c r="G3" s="181"/>
      <c r="H3" s="181"/>
      <c r="I3" s="181"/>
      <c r="J3" s="181"/>
      <c r="K3" s="181"/>
    </row>
    <row r="4" spans="1:11" ht="54.75" customHeight="1">
      <c r="A4" s="181" t="s">
        <v>3</v>
      </c>
      <c r="B4" s="181"/>
      <c r="C4" s="181"/>
      <c r="D4" s="181"/>
      <c r="E4" s="181"/>
      <c r="F4" s="181"/>
      <c r="G4" s="181"/>
      <c r="H4" s="181"/>
      <c r="I4" s="181"/>
      <c r="J4" s="181"/>
      <c r="K4" s="181"/>
    </row>
    <row r="5" spans="1:11" ht="67.5" customHeight="1">
      <c r="A5" s="180" t="s">
        <v>4</v>
      </c>
      <c r="B5" s="180"/>
      <c r="C5" s="180"/>
      <c r="D5" s="180"/>
      <c r="E5" s="180"/>
      <c r="F5" s="180"/>
      <c r="G5" s="180"/>
      <c r="H5" s="180"/>
      <c r="I5" s="180"/>
      <c r="J5" s="180"/>
      <c r="K5" s="180"/>
    </row>
    <row r="6" spans="1:11" ht="84.75" customHeight="1">
      <c r="A6" s="180" t="s">
        <v>5</v>
      </c>
      <c r="B6" s="180"/>
      <c r="C6" s="180"/>
      <c r="D6" s="180"/>
      <c r="E6" s="180"/>
      <c r="F6" s="180"/>
      <c r="G6" s="180"/>
      <c r="H6" s="180"/>
      <c r="I6" s="180"/>
      <c r="J6" s="180"/>
      <c r="K6" s="180"/>
    </row>
    <row r="7" spans="1:11" ht="49.5" customHeight="1">
      <c r="A7" s="180" t="s">
        <v>6</v>
      </c>
      <c r="B7" s="180"/>
      <c r="C7" s="180"/>
      <c r="D7" s="180"/>
      <c r="E7" s="180"/>
      <c r="F7" s="180"/>
      <c r="G7" s="180"/>
      <c r="H7" s="180"/>
      <c r="I7" s="180"/>
      <c r="J7" s="180"/>
      <c r="K7" s="180"/>
    </row>
    <row r="8" spans="1:11" ht="38.25" customHeight="1">
      <c r="A8" s="180" t="s">
        <v>7</v>
      </c>
      <c r="B8" s="180"/>
      <c r="C8" s="180"/>
      <c r="D8" s="180"/>
      <c r="E8" s="180"/>
      <c r="F8" s="180"/>
      <c r="G8" s="180"/>
      <c r="H8" s="180"/>
      <c r="I8" s="180"/>
      <c r="J8" s="180"/>
      <c r="K8" s="180"/>
    </row>
    <row r="9" spans="1:11" ht="39.75" customHeight="1">
      <c r="A9" s="181" t="s">
        <v>8</v>
      </c>
      <c r="B9" s="181"/>
      <c r="C9" s="181"/>
      <c r="D9" s="181"/>
      <c r="E9" s="181"/>
      <c r="F9" s="181"/>
      <c r="G9" s="181"/>
      <c r="H9" s="181"/>
      <c r="I9" s="181"/>
      <c r="J9" s="181"/>
      <c r="K9" s="181"/>
    </row>
    <row r="10" spans="1:11" ht="41.25" customHeight="1">
      <c r="A10" s="181" t="s">
        <v>9</v>
      </c>
      <c r="B10" s="181"/>
      <c r="C10" s="181"/>
      <c r="D10" s="181"/>
      <c r="E10" s="181"/>
      <c r="F10" s="181"/>
      <c r="G10" s="181"/>
      <c r="H10" s="181"/>
      <c r="I10" s="181"/>
      <c r="J10" s="181"/>
      <c r="K10" s="181"/>
    </row>
    <row r="11" spans="1:11" ht="41.25" customHeight="1">
      <c r="A11" s="177" t="s">
        <v>10</v>
      </c>
      <c r="B11" s="177"/>
      <c r="C11" s="177"/>
      <c r="D11" s="177"/>
      <c r="E11" s="177"/>
      <c r="F11" s="177"/>
      <c r="G11" s="177"/>
      <c r="H11" s="177"/>
      <c r="I11" s="177"/>
      <c r="J11" s="177"/>
      <c r="K11" s="177"/>
    </row>
    <row r="12" spans="1:11">
      <c r="A12" s="178" t="s">
        <v>11</v>
      </c>
      <c r="B12" s="178"/>
      <c r="C12" s="178"/>
      <c r="D12" s="178"/>
      <c r="E12" s="178"/>
      <c r="F12" s="178"/>
      <c r="G12" s="178"/>
      <c r="H12" s="178"/>
      <c r="I12" s="178"/>
      <c r="J12" s="178"/>
      <c r="K12" s="178"/>
    </row>
    <row r="13" spans="1:11">
      <c r="A13" s="179" t="s">
        <v>12</v>
      </c>
      <c r="B13" s="179"/>
      <c r="C13" s="179"/>
      <c r="D13" s="179"/>
      <c r="E13" s="179"/>
      <c r="F13" s="179"/>
      <c r="G13" s="179"/>
      <c r="H13" s="179"/>
      <c r="I13" s="179"/>
      <c r="J13" s="179"/>
      <c r="K13" s="179"/>
    </row>
    <row r="14" spans="1:11">
      <c r="A14" s="179" t="s">
        <v>13</v>
      </c>
      <c r="B14" s="179"/>
      <c r="C14" s="179"/>
      <c r="D14" s="179"/>
      <c r="E14" s="179"/>
      <c r="F14" s="179"/>
      <c r="G14" s="179"/>
      <c r="H14" s="179"/>
      <c r="I14" s="179"/>
      <c r="J14" s="179"/>
      <c r="K14" s="179"/>
    </row>
  </sheetData>
  <sheetProtection sheet="1" objects="1" scenarios="1"/>
  <mergeCells count="14">
    <mergeCell ref="A1:K1"/>
    <mergeCell ref="A2:K2"/>
    <mergeCell ref="A3:K3"/>
    <mergeCell ref="A4:K4"/>
    <mergeCell ref="A5:K5"/>
    <mergeCell ref="A11:K11"/>
    <mergeCell ref="A12:K12"/>
    <mergeCell ref="A13:K13"/>
    <mergeCell ref="A14:K14"/>
    <mergeCell ref="A6:K6"/>
    <mergeCell ref="A7:K7"/>
    <mergeCell ref="A8:K8"/>
    <mergeCell ref="A9:K9"/>
    <mergeCell ref="A10:K10"/>
  </mergeCells>
  <pageMargins left="0.7" right="0.7" top="0.75" bottom="0.75" header="0.51180555555555496" footer="0.51180555555555496"/>
  <pageSetup paperSize="9" firstPageNumber="0" orientation="portrait" useFirstPageNumber="1"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K148"/>
  <sheetViews>
    <sheetView workbookViewId="0">
      <selection activeCell="H11" sqref="H11"/>
    </sheetView>
  </sheetViews>
  <sheetFormatPr defaultColWidth="9.140625" defaultRowHeight="15"/>
  <cols>
    <col min="1" max="1" width="10.5703125" style="4" customWidth="1"/>
    <col min="2" max="2" width="54.28515625" customWidth="1"/>
    <col min="3" max="3" width="23.85546875" customWidth="1"/>
    <col min="4" max="4" width="41" customWidth="1"/>
    <col min="6" max="7" width="0" hidden="1" customWidth="1"/>
    <col min="8" max="8" width="22.85546875" customWidth="1"/>
    <col min="9" max="9" width="13.28515625" customWidth="1"/>
    <col min="10" max="10" width="12" customWidth="1"/>
    <col min="11" max="11" width="12.28515625" customWidth="1"/>
  </cols>
  <sheetData>
    <row r="2" spans="1:9" ht="18.75">
      <c r="A2" s="208" t="s">
        <v>177</v>
      </c>
      <c r="B2" s="209"/>
      <c r="C2" s="209"/>
      <c r="D2" s="209"/>
    </row>
    <row r="3" spans="1:9">
      <c r="A3" s="214" t="str">
        <f>Pedreiro!A3</f>
        <v>Processo Administrativo n.° 23324.000132.2023-89</v>
      </c>
      <c r="B3" s="215"/>
      <c r="C3" s="215"/>
      <c r="D3" s="215"/>
    </row>
    <row r="4" spans="1:9" ht="21" customHeight="1">
      <c r="A4" s="5" t="s">
        <v>178</v>
      </c>
      <c r="B4" s="111" t="s">
        <v>419</v>
      </c>
      <c r="C4" s="7"/>
      <c r="D4" s="7"/>
    </row>
    <row r="5" spans="1:9">
      <c r="A5" s="8"/>
      <c r="B5" s="9"/>
      <c r="C5" s="9"/>
      <c r="D5" s="9"/>
    </row>
    <row r="6" spans="1:9">
      <c r="A6" s="190" t="s">
        <v>179</v>
      </c>
      <c r="B6" s="183"/>
      <c r="C6" s="183"/>
      <c r="D6" s="183"/>
    </row>
    <row r="7" spans="1:9">
      <c r="A7" s="10" t="s">
        <v>42</v>
      </c>
      <c r="B7" s="11" t="s">
        <v>180</v>
      </c>
      <c r="C7" s="212" t="s">
        <v>420</v>
      </c>
      <c r="D7" s="213"/>
    </row>
    <row r="8" spans="1:9">
      <c r="A8" s="12" t="s">
        <v>45</v>
      </c>
      <c r="B8" s="13" t="s">
        <v>181</v>
      </c>
      <c r="C8" s="203" t="s">
        <v>182</v>
      </c>
      <c r="D8" s="203"/>
    </row>
    <row r="9" spans="1:9">
      <c r="A9" s="15" t="s">
        <v>48</v>
      </c>
      <c r="B9" s="16" t="s">
        <v>183</v>
      </c>
      <c r="C9" s="203" t="s">
        <v>184</v>
      </c>
      <c r="D9" s="203"/>
    </row>
    <row r="10" spans="1:9">
      <c r="A10" s="12" t="s">
        <v>53</v>
      </c>
      <c r="B10" s="13" t="s">
        <v>185</v>
      </c>
      <c r="C10" s="203" t="s">
        <v>186</v>
      </c>
      <c r="D10" s="203"/>
    </row>
    <row r="11" spans="1:9">
      <c r="A11" s="201" t="s">
        <v>187</v>
      </c>
      <c r="B11" s="202"/>
      <c r="C11" s="202"/>
      <c r="D11" s="202"/>
    </row>
    <row r="12" spans="1:9">
      <c r="A12" s="204" t="s">
        <v>188</v>
      </c>
      <c r="B12" s="205"/>
      <c r="C12" s="17" t="s">
        <v>189</v>
      </c>
      <c r="D12" s="18" t="s">
        <v>190</v>
      </c>
    </row>
    <row r="13" spans="1:9">
      <c r="A13" s="206" t="s">
        <v>307</v>
      </c>
      <c r="B13" s="207"/>
      <c r="C13" s="14" t="s">
        <v>192</v>
      </c>
      <c r="D13" s="19">
        <v>8</v>
      </c>
    </row>
    <row r="14" spans="1:9">
      <c r="A14" s="199"/>
      <c r="B14" s="200"/>
      <c r="C14" s="14"/>
      <c r="D14" s="20"/>
    </row>
    <row r="15" spans="1:9">
      <c r="A15" s="201" t="s">
        <v>14</v>
      </c>
      <c r="B15" s="202"/>
      <c r="C15" s="202"/>
      <c r="D15" s="202"/>
      <c r="H15" s="186"/>
      <c r="I15" s="186"/>
    </row>
    <row r="16" spans="1:9">
      <c r="A16" s="21" t="s">
        <v>16</v>
      </c>
      <c r="B16" t="s">
        <v>17</v>
      </c>
      <c r="C16" s="22" t="s">
        <v>18</v>
      </c>
      <c r="D16" s="22" t="s">
        <v>19</v>
      </c>
    </row>
    <row r="17" spans="1:9">
      <c r="A17" s="21">
        <v>1</v>
      </c>
      <c r="B17" t="s">
        <v>20</v>
      </c>
      <c r="C17" s="23" t="s">
        <v>102</v>
      </c>
      <c r="D17" s="23" t="str">
        <f>A13</f>
        <v>Cozinheira</v>
      </c>
    </row>
    <row r="18" spans="1:9">
      <c r="A18" s="21">
        <v>2</v>
      </c>
      <c r="B18" t="s">
        <v>23</v>
      </c>
      <c r="C18" s="23" t="s">
        <v>193</v>
      </c>
      <c r="D18" s="23" t="s">
        <v>308</v>
      </c>
    </row>
    <row r="19" spans="1:9">
      <c r="A19" s="21">
        <v>3</v>
      </c>
      <c r="B19" t="s">
        <v>26</v>
      </c>
      <c r="C19" s="23" t="str">
        <f>C9</f>
        <v>CCT PB000517/2021</v>
      </c>
      <c r="D19" s="24">
        <v>1320</v>
      </c>
    </row>
    <row r="20" spans="1:9">
      <c r="A20" s="21">
        <v>4</v>
      </c>
      <c r="B20" t="s">
        <v>29</v>
      </c>
      <c r="C20" s="23" t="str">
        <f>C9</f>
        <v>CCT PB000517/2021</v>
      </c>
      <c r="D20" s="25" t="s">
        <v>195</v>
      </c>
    </row>
    <row r="21" spans="1:9">
      <c r="A21" s="21">
        <v>5</v>
      </c>
      <c r="B21" t="s">
        <v>33</v>
      </c>
      <c r="C21" s="23" t="str">
        <f>C9</f>
        <v>CCT PB000517/2021</v>
      </c>
      <c r="D21" s="26" t="s">
        <v>196</v>
      </c>
    </row>
    <row r="22" spans="1:9">
      <c r="H22" s="186"/>
      <c r="I22" s="186"/>
    </row>
    <row r="23" spans="1:9">
      <c r="A23" s="190" t="s">
        <v>36</v>
      </c>
      <c r="B23" s="183"/>
      <c r="C23" s="183"/>
      <c r="D23" s="183"/>
    </row>
    <row r="24" spans="1:9">
      <c r="A24" s="21" t="s">
        <v>39</v>
      </c>
      <c r="B24" s="2" t="s">
        <v>40</v>
      </c>
      <c r="C24" s="22" t="s">
        <v>18</v>
      </c>
      <c r="D24" s="22" t="s">
        <v>19</v>
      </c>
      <c r="I24" s="27"/>
    </row>
    <row r="25" spans="1:9">
      <c r="A25" s="21" t="s">
        <v>42</v>
      </c>
      <c r="B25" t="s">
        <v>43</v>
      </c>
      <c r="C25" s="25" t="s">
        <v>249</v>
      </c>
      <c r="D25" s="24">
        <f>D19</f>
        <v>1320</v>
      </c>
      <c r="I25" s="27"/>
    </row>
    <row r="26" spans="1:9">
      <c r="A26" s="21" t="s">
        <v>45</v>
      </c>
      <c r="B26" t="s">
        <v>198</v>
      </c>
      <c r="C26" s="25"/>
      <c r="D26" s="24">
        <v>0</v>
      </c>
      <c r="I26" s="27"/>
    </row>
    <row r="27" spans="1:9">
      <c r="A27" s="21" t="s">
        <v>48</v>
      </c>
      <c r="B27" t="s">
        <v>199</v>
      </c>
      <c r="C27" s="25"/>
      <c r="D27" s="24">
        <v>0</v>
      </c>
    </row>
    <row r="28" spans="1:9">
      <c r="A28" s="21" t="s">
        <v>50</v>
      </c>
      <c r="B28" t="s">
        <v>51</v>
      </c>
      <c r="C28" s="25"/>
      <c r="D28" s="24">
        <v>0</v>
      </c>
    </row>
    <row r="29" spans="1:9">
      <c r="A29" s="21" t="s">
        <v>53</v>
      </c>
      <c r="B29" t="s">
        <v>54</v>
      </c>
      <c r="C29" s="25"/>
      <c r="D29" s="24">
        <v>0</v>
      </c>
    </row>
    <row r="30" spans="1:9">
      <c r="A30" s="21" t="s">
        <v>55</v>
      </c>
      <c r="B30" t="s">
        <v>56</v>
      </c>
      <c r="C30" s="25"/>
      <c r="D30" s="24">
        <v>0</v>
      </c>
    </row>
    <row r="31" spans="1:9">
      <c r="A31" s="21" t="s">
        <v>58</v>
      </c>
      <c r="C31" s="22"/>
      <c r="D31" s="28">
        <f>TRUNC((SUM(D25:D30)),2)</f>
        <v>1320</v>
      </c>
      <c r="H31" s="186"/>
      <c r="I31" s="186"/>
    </row>
    <row r="32" spans="1:9">
      <c r="B32" s="29" t="s">
        <v>200</v>
      </c>
    </row>
    <row r="33" spans="1:9">
      <c r="A33" s="192" t="s">
        <v>61</v>
      </c>
      <c r="B33" s="187"/>
      <c r="C33" s="187"/>
      <c r="D33" s="187"/>
      <c r="I33" s="27"/>
    </row>
    <row r="35" spans="1:9">
      <c r="A35" s="184" t="s">
        <v>63</v>
      </c>
      <c r="B35" s="186"/>
      <c r="C35" s="186"/>
      <c r="D35" s="186"/>
    </row>
    <row r="36" spans="1:9">
      <c r="A36" s="21" t="s">
        <v>65</v>
      </c>
      <c r="B36" s="2" t="s">
        <v>66</v>
      </c>
      <c r="C36" s="22" t="s">
        <v>38</v>
      </c>
      <c r="D36" s="22" t="s">
        <v>19</v>
      </c>
    </row>
    <row r="37" spans="1:9">
      <c r="A37" s="21" t="s">
        <v>42</v>
      </c>
      <c r="B37" t="s">
        <v>67</v>
      </c>
      <c r="C37" s="31">
        <f>(1/12)</f>
        <v>8.3333333333333329E-2</v>
      </c>
      <c r="D37" s="28">
        <f>TRUNC($D$31*C37,2)</f>
        <v>110</v>
      </c>
      <c r="H37" s="32"/>
      <c r="I37" s="32"/>
    </row>
    <row r="38" spans="1:9">
      <c r="A38" s="21" t="s">
        <v>45</v>
      </c>
      <c r="B38" t="s">
        <v>68</v>
      </c>
      <c r="C38" s="31">
        <f>(((1+1/3)/12))</f>
        <v>0.1111111111111111</v>
      </c>
      <c r="D38" s="28">
        <f>TRUNC($D$31*C38,2)</f>
        <v>146.66</v>
      </c>
      <c r="H38" s="32"/>
      <c r="I38" s="32"/>
    </row>
    <row r="39" spans="1:9">
      <c r="A39" s="21" t="s">
        <v>58</v>
      </c>
      <c r="D39" s="28">
        <f>TRUNC((SUM(D37:D38)),2)</f>
        <v>256.66000000000003</v>
      </c>
      <c r="H39" s="32"/>
      <c r="I39" s="32"/>
    </row>
    <row r="40" spans="1:9">
      <c r="D40" s="28"/>
      <c r="H40" s="32"/>
      <c r="I40" s="32"/>
    </row>
    <row r="41" spans="1:9">
      <c r="A41" s="192" t="s">
        <v>201</v>
      </c>
      <c r="B41" s="192"/>
      <c r="C41" s="33" t="s">
        <v>202</v>
      </c>
      <c r="D41" s="34">
        <f>D31</f>
        <v>1320</v>
      </c>
      <c r="H41" s="32"/>
      <c r="I41" s="32"/>
    </row>
    <row r="42" spans="1:9">
      <c r="A42" s="192"/>
      <c r="B42" s="192"/>
      <c r="C42" s="35" t="s">
        <v>203</v>
      </c>
      <c r="D42" s="34">
        <f>D39</f>
        <v>256.66000000000003</v>
      </c>
      <c r="H42" s="32"/>
      <c r="I42" s="32"/>
    </row>
    <row r="43" spans="1:9">
      <c r="A43" s="192"/>
      <c r="B43" s="192"/>
      <c r="C43" s="33" t="s">
        <v>204</v>
      </c>
      <c r="D43" s="36">
        <f>TRUNC((SUM(D41:D42)),2)</f>
        <v>1576.66</v>
      </c>
      <c r="H43" s="32"/>
      <c r="I43" s="32"/>
    </row>
    <row r="44" spans="1:9">
      <c r="A44" s="21"/>
      <c r="C44" s="37"/>
      <c r="D44" s="28"/>
      <c r="H44" s="32"/>
      <c r="I44" s="32"/>
    </row>
    <row r="45" spans="1:9">
      <c r="A45" s="184" t="s">
        <v>77</v>
      </c>
      <c r="B45" s="186"/>
      <c r="C45" s="186"/>
      <c r="D45" s="186"/>
    </row>
    <row r="46" spans="1:9">
      <c r="A46" s="21" t="s">
        <v>78</v>
      </c>
      <c r="B46" s="2" t="s">
        <v>79</v>
      </c>
      <c r="C46" s="22" t="s">
        <v>38</v>
      </c>
      <c r="D46" s="22" t="s">
        <v>80</v>
      </c>
    </row>
    <row r="47" spans="1:9">
      <c r="A47" s="21" t="s">
        <v>42</v>
      </c>
      <c r="B47" t="s">
        <v>81</v>
      </c>
      <c r="C47" s="31">
        <v>0.2</v>
      </c>
      <c r="D47" s="28">
        <f t="shared" ref="D47:D54" si="0">TRUNC(($D$43*C47),2)</f>
        <v>315.33</v>
      </c>
    </row>
    <row r="48" spans="1:9">
      <c r="A48" s="21" t="s">
        <v>45</v>
      </c>
      <c r="B48" t="s">
        <v>82</v>
      </c>
      <c r="C48" s="31">
        <v>2.5000000000000001E-2</v>
      </c>
      <c r="D48" s="28">
        <f t="shared" si="0"/>
        <v>39.409999999999997</v>
      </c>
    </row>
    <row r="49" spans="1:8">
      <c r="A49" s="21" t="s">
        <v>48</v>
      </c>
      <c r="B49" t="s">
        <v>205</v>
      </c>
      <c r="C49" s="38">
        <v>0.03</v>
      </c>
      <c r="D49" s="24">
        <f t="shared" si="0"/>
        <v>47.29</v>
      </c>
    </row>
    <row r="50" spans="1:8">
      <c r="A50" s="21" t="s">
        <v>50</v>
      </c>
      <c r="B50" t="s">
        <v>84</v>
      </c>
      <c r="C50" s="31">
        <v>1.4999999999999999E-2</v>
      </c>
      <c r="D50" s="28">
        <f t="shared" si="0"/>
        <v>23.64</v>
      </c>
    </row>
    <row r="51" spans="1:8">
      <c r="A51" s="21" t="s">
        <v>53</v>
      </c>
      <c r="B51" t="s">
        <v>85</v>
      </c>
      <c r="C51" s="31">
        <v>0.01</v>
      </c>
      <c r="D51" s="28">
        <f t="shared" si="0"/>
        <v>15.76</v>
      </c>
    </row>
    <row r="52" spans="1:8">
      <c r="A52" s="21" t="s">
        <v>55</v>
      </c>
      <c r="B52" t="s">
        <v>86</v>
      </c>
      <c r="C52" s="31">
        <v>6.0000000000000001E-3</v>
      </c>
      <c r="D52" s="28">
        <f t="shared" si="0"/>
        <v>9.4499999999999993</v>
      </c>
    </row>
    <row r="53" spans="1:8">
      <c r="A53" s="21" t="s">
        <v>87</v>
      </c>
      <c r="B53" t="s">
        <v>88</v>
      </c>
      <c r="C53" s="31">
        <v>2E-3</v>
      </c>
      <c r="D53" s="28">
        <f t="shared" si="0"/>
        <v>3.15</v>
      </c>
    </row>
    <row r="54" spans="1:8">
      <c r="A54" s="21" t="s">
        <v>89</v>
      </c>
      <c r="B54" t="s">
        <v>90</v>
      </c>
      <c r="C54" s="31">
        <v>0.08</v>
      </c>
      <c r="D54" s="28">
        <f t="shared" si="0"/>
        <v>126.13</v>
      </c>
    </row>
    <row r="55" spans="1:8">
      <c r="A55" s="21" t="s">
        <v>58</v>
      </c>
      <c r="C55" s="37">
        <f>SUM(C47:C54)</f>
        <v>0.36800000000000005</v>
      </c>
      <c r="D55" s="28">
        <f>TRUNC((SUM(D47:D54)),2)</f>
        <v>580.16</v>
      </c>
    </row>
    <row r="56" spans="1:8">
      <c r="A56" s="21"/>
      <c r="C56" s="37"/>
      <c r="D56" s="28"/>
    </row>
    <row r="57" spans="1:8">
      <c r="A57" s="184" t="s">
        <v>95</v>
      </c>
      <c r="B57" s="186"/>
      <c r="C57" s="186"/>
      <c r="D57" s="186"/>
    </row>
    <row r="58" spans="1:8">
      <c r="A58" s="21" t="s">
        <v>96</v>
      </c>
      <c r="B58" s="2" t="s">
        <v>97</v>
      </c>
      <c r="C58" s="22" t="s">
        <v>18</v>
      </c>
      <c r="D58" s="22" t="s">
        <v>19</v>
      </c>
    </row>
    <row r="59" spans="1:8">
      <c r="A59" s="21" t="s">
        <v>42</v>
      </c>
      <c r="B59" t="s">
        <v>98</v>
      </c>
      <c r="C59" s="23"/>
      <c r="D59" s="39">
        <v>0</v>
      </c>
    </row>
    <row r="60" spans="1:8">
      <c r="A60" s="21" t="s">
        <v>45</v>
      </c>
      <c r="B60" t="s">
        <v>99</v>
      </c>
      <c r="C60" s="23" t="str">
        <f>C9</f>
        <v>CCT PB000517/2021</v>
      </c>
      <c r="D60" s="24">
        <f>TRUNC((((22*20.91))-(((22*20.91))*0.2)),2)</f>
        <v>368.01</v>
      </c>
    </row>
    <row r="61" spans="1:8">
      <c r="A61" s="21" t="s">
        <v>48</v>
      </c>
      <c r="B61" t="s">
        <v>100</v>
      </c>
      <c r="C61" s="23"/>
      <c r="D61" s="24">
        <v>0</v>
      </c>
    </row>
    <row r="62" spans="1:8">
      <c r="A62" s="21" t="s">
        <v>50</v>
      </c>
      <c r="B62" s="40" t="s">
        <v>206</v>
      </c>
      <c r="C62" s="41"/>
      <c r="D62" s="41">
        <v>0</v>
      </c>
      <c r="H62" s="40"/>
    </row>
    <row r="63" spans="1:8">
      <c r="A63" s="21" t="s">
        <v>53</v>
      </c>
      <c r="B63" s="2" t="s">
        <v>207</v>
      </c>
      <c r="C63" s="23" t="str">
        <f>C60</f>
        <v>CCT PB000517/2021</v>
      </c>
      <c r="D63" s="24">
        <v>20</v>
      </c>
    </row>
    <row r="64" spans="1:8">
      <c r="A64" s="21" t="s">
        <v>55</v>
      </c>
      <c r="B64" s="42" t="s">
        <v>208</v>
      </c>
      <c r="C64" s="23" t="str">
        <f>C9</f>
        <v>CCT PB000517/2021</v>
      </c>
      <c r="D64" s="24">
        <v>5</v>
      </c>
    </row>
    <row r="65" spans="1:4">
      <c r="A65" s="21" t="s">
        <v>87</v>
      </c>
      <c r="B65" s="42" t="s">
        <v>209</v>
      </c>
      <c r="C65" s="41" t="str">
        <f>C60</f>
        <v>CCT PB000517/2021</v>
      </c>
      <c r="D65" s="24">
        <v>40</v>
      </c>
    </row>
    <row r="66" spans="1:4">
      <c r="A66" s="21" t="s">
        <v>58</v>
      </c>
      <c r="D66" s="28">
        <f>TRUNC((SUM(D59:D65)),2)</f>
        <v>433.01</v>
      </c>
    </row>
    <row r="67" spans="1:4">
      <c r="A67" s="21"/>
      <c r="D67" s="28"/>
    </row>
    <row r="68" spans="1:4">
      <c r="A68" s="184" t="s">
        <v>105</v>
      </c>
      <c r="B68" s="186"/>
      <c r="C68" s="186"/>
      <c r="D68" s="186"/>
    </row>
    <row r="69" spans="1:4">
      <c r="A69" s="21" t="s">
        <v>106</v>
      </c>
      <c r="B69" s="2" t="s">
        <v>107</v>
      </c>
      <c r="C69" s="22" t="s">
        <v>18</v>
      </c>
      <c r="D69" s="22" t="s">
        <v>19</v>
      </c>
    </row>
    <row r="70" spans="1:4">
      <c r="A70" s="21" t="s">
        <v>65</v>
      </c>
      <c r="B70" t="s">
        <v>66</v>
      </c>
      <c r="C70" s="22"/>
      <c r="D70" s="28">
        <f>D39</f>
        <v>256.66000000000003</v>
      </c>
    </row>
    <row r="71" spans="1:4">
      <c r="A71" s="21" t="s">
        <v>78</v>
      </c>
      <c r="B71" t="s">
        <v>79</v>
      </c>
      <c r="C71" s="22"/>
      <c r="D71" s="28">
        <f>D55</f>
        <v>580.16</v>
      </c>
    </row>
    <row r="72" spans="1:4">
      <c r="A72" s="21" t="s">
        <v>96</v>
      </c>
      <c r="B72" t="s">
        <v>97</v>
      </c>
      <c r="C72" s="22"/>
      <c r="D72" s="28">
        <f>D66</f>
        <v>433.01</v>
      </c>
    </row>
    <row r="73" spans="1:4">
      <c r="A73" s="21" t="s">
        <v>58</v>
      </c>
      <c r="C73" s="22"/>
      <c r="D73" s="28">
        <f>TRUNC((SUM(D70:D72)),2)</f>
        <v>1269.83</v>
      </c>
    </row>
    <row r="75" spans="1:4">
      <c r="A75" s="190" t="s">
        <v>108</v>
      </c>
      <c r="B75" s="183"/>
      <c r="C75" s="183"/>
      <c r="D75" s="183"/>
    </row>
    <row r="76" spans="1:4">
      <c r="A76" s="21" t="s">
        <v>109</v>
      </c>
      <c r="B76" s="2" t="s">
        <v>110</v>
      </c>
      <c r="C76" s="22" t="s">
        <v>38</v>
      </c>
      <c r="D76" s="22" t="s">
        <v>19</v>
      </c>
    </row>
    <row r="77" spans="1:4">
      <c r="A77" s="21" t="s">
        <v>42</v>
      </c>
      <c r="B77" t="s">
        <v>111</v>
      </c>
      <c r="C77" s="38">
        <f>((1/12)*2%)</f>
        <v>1.6666666666666666E-3</v>
      </c>
      <c r="D77" s="24">
        <f>TRUNC(($D$31*C77),2)</f>
        <v>2.2000000000000002</v>
      </c>
    </row>
    <row r="78" spans="1:4">
      <c r="A78" s="21" t="s">
        <v>45</v>
      </c>
      <c r="B78" t="s">
        <v>112</v>
      </c>
      <c r="C78" s="43">
        <v>0.08</v>
      </c>
      <c r="D78" s="28">
        <f>TRUNC(($D$77*C78),2)</f>
        <v>0.17</v>
      </c>
    </row>
    <row r="79" spans="1:4" ht="30">
      <c r="A79" s="21" t="s">
        <v>48</v>
      </c>
      <c r="B79" s="44" t="s">
        <v>113</v>
      </c>
      <c r="C79" s="45">
        <f>(0.08*0.4*0.02)</f>
        <v>6.4000000000000005E-4</v>
      </c>
      <c r="D79" s="41">
        <f t="shared" ref="D79:D80" si="1">TRUNC(($D$31*C79),2)</f>
        <v>0.84</v>
      </c>
    </row>
    <row r="80" spans="1:4">
      <c r="A80" s="21" t="s">
        <v>50</v>
      </c>
      <c r="B80" t="s">
        <v>114</v>
      </c>
      <c r="C80" s="43">
        <f>(((7/30)/12)*0.98)</f>
        <v>1.9055555555555555E-2</v>
      </c>
      <c r="D80" s="28">
        <f t="shared" si="1"/>
        <v>25.15</v>
      </c>
    </row>
    <row r="81" spans="1:4" ht="30">
      <c r="A81" s="21" t="s">
        <v>53</v>
      </c>
      <c r="B81" s="44" t="s">
        <v>210</v>
      </c>
      <c r="C81" s="45">
        <f>C55</f>
        <v>0.36800000000000005</v>
      </c>
      <c r="D81" s="41">
        <f>TRUNC(($D$80*C81),2)</f>
        <v>9.25</v>
      </c>
    </row>
    <row r="82" spans="1:4" ht="30">
      <c r="A82" s="21" t="s">
        <v>55</v>
      </c>
      <c r="B82" s="44" t="s">
        <v>115</v>
      </c>
      <c r="C82" s="45">
        <f>(0.08*0.4*0.98)</f>
        <v>3.1359999999999999E-2</v>
      </c>
      <c r="D82" s="41">
        <f>TRUNC(($D$31*C82),2)</f>
        <v>41.39</v>
      </c>
    </row>
    <row r="83" spans="1:4">
      <c r="A83" s="21" t="s">
        <v>58</v>
      </c>
      <c r="C83" s="43">
        <f>SUM(C77:C82)</f>
        <v>0.50072222222222229</v>
      </c>
      <c r="D83" s="28">
        <f>TRUNC((SUM(D77:D82)),2)</f>
        <v>79</v>
      </c>
    </row>
    <row r="84" spans="1:4">
      <c r="A84" s="21"/>
      <c r="D84" s="28"/>
    </row>
    <row r="85" spans="1:4">
      <c r="A85" s="192" t="s">
        <v>211</v>
      </c>
      <c r="B85" s="192"/>
      <c r="C85" s="33" t="s">
        <v>202</v>
      </c>
      <c r="D85" s="34">
        <f>D31</f>
        <v>1320</v>
      </c>
    </row>
    <row r="86" spans="1:4">
      <c r="A86" s="192"/>
      <c r="B86" s="192"/>
      <c r="C86" s="35" t="s">
        <v>212</v>
      </c>
      <c r="D86" s="34">
        <f>D73</f>
        <v>1269.83</v>
      </c>
    </row>
    <row r="87" spans="1:4">
      <c r="A87" s="192"/>
      <c r="B87" s="192"/>
      <c r="C87" s="33" t="s">
        <v>213</v>
      </c>
      <c r="D87" s="34">
        <f>D83</f>
        <v>79</v>
      </c>
    </row>
    <row r="88" spans="1:4">
      <c r="A88" s="192"/>
      <c r="B88" s="192"/>
      <c r="C88" s="35" t="s">
        <v>204</v>
      </c>
      <c r="D88" s="36">
        <f>TRUNC((SUM(D85:D87)),2)</f>
        <v>2668.83</v>
      </c>
    </row>
    <row r="89" spans="1:4">
      <c r="A89" s="21"/>
      <c r="D89" s="28"/>
    </row>
    <row r="90" spans="1:4">
      <c r="A90" s="198" t="s">
        <v>127</v>
      </c>
      <c r="B90" s="185"/>
      <c r="C90" s="185"/>
      <c r="D90" s="185"/>
    </row>
    <row r="91" spans="1:4">
      <c r="A91" s="184" t="s">
        <v>128</v>
      </c>
      <c r="B91" s="186"/>
      <c r="C91" s="186"/>
      <c r="D91" s="186"/>
    </row>
    <row r="92" spans="1:4">
      <c r="A92" s="21" t="s">
        <v>129</v>
      </c>
      <c r="B92" s="2" t="s">
        <v>130</v>
      </c>
      <c r="C92" s="22" t="s">
        <v>38</v>
      </c>
      <c r="D92" s="22" t="s">
        <v>19</v>
      </c>
    </row>
    <row r="93" spans="1:4">
      <c r="A93" s="21" t="s">
        <v>42</v>
      </c>
      <c r="B93" t="s">
        <v>132</v>
      </c>
      <c r="C93" s="43">
        <f>(((1+1/3)/12)/12)+((1/12)/12)</f>
        <v>1.6203703703703703E-2</v>
      </c>
      <c r="D93" s="28">
        <f>TRUNC(($D$88*C93),2)</f>
        <v>43.24</v>
      </c>
    </row>
    <row r="94" spans="1:4">
      <c r="A94" s="21" t="s">
        <v>45</v>
      </c>
      <c r="B94" t="s">
        <v>133</v>
      </c>
      <c r="C94" s="38">
        <f>((5/30)/12)</f>
        <v>1.3888888888888888E-2</v>
      </c>
      <c r="D94" s="41">
        <f>TRUNC(($D$88*C94),2)</f>
        <v>37.06</v>
      </c>
    </row>
    <row r="95" spans="1:4">
      <c r="A95" s="21" t="s">
        <v>48</v>
      </c>
      <c r="B95" t="s">
        <v>134</v>
      </c>
      <c r="C95" s="38">
        <f>((5/30)/12)*0.02</f>
        <v>2.7777777777777778E-4</v>
      </c>
      <c r="D95" s="41">
        <f t="shared" ref="D95:D97" si="2">TRUNC(($D$88*C95),2)</f>
        <v>0.74</v>
      </c>
    </row>
    <row r="96" spans="1:4" ht="30">
      <c r="A96" s="21" t="s">
        <v>50</v>
      </c>
      <c r="B96" s="44" t="s">
        <v>135</v>
      </c>
      <c r="C96" s="45">
        <f>((15/30)/12)*0.08</f>
        <v>3.3333333333333331E-3</v>
      </c>
      <c r="D96" s="41">
        <f t="shared" si="2"/>
        <v>8.89</v>
      </c>
    </row>
    <row r="97" spans="1:4">
      <c r="A97" s="21" t="s">
        <v>53</v>
      </c>
      <c r="B97" t="s">
        <v>136</v>
      </c>
      <c r="C97" s="38">
        <f>((1+1/3)/12)*0.00001*((4/12))</f>
        <v>3.7037037037037031E-7</v>
      </c>
      <c r="D97" s="41">
        <f t="shared" si="2"/>
        <v>0</v>
      </c>
    </row>
    <row r="98" spans="1:4">
      <c r="A98" s="21" t="s">
        <v>55</v>
      </c>
      <c r="B98" s="44" t="s">
        <v>214</v>
      </c>
      <c r="C98" s="46">
        <v>0</v>
      </c>
      <c r="D98" s="41">
        <f>TRUNC($D$88*C98)</f>
        <v>0</v>
      </c>
    </row>
    <row r="99" spans="1:4">
      <c r="A99" s="21" t="s">
        <v>58</v>
      </c>
      <c r="C99" s="43">
        <f>SUBTOTAL(109,Submódulo4.159_137[Percentual])</f>
        <v>3.3704074074074074E-2</v>
      </c>
      <c r="D99" s="28">
        <f>TRUNC((SUM(D93:D98)),2)</f>
        <v>89.93</v>
      </c>
    </row>
    <row r="100" spans="1:4">
      <c r="A100" s="21"/>
      <c r="C100" s="22"/>
      <c r="D100" s="28"/>
    </row>
    <row r="101" spans="1:4">
      <c r="A101" s="184" t="s">
        <v>144</v>
      </c>
      <c r="B101" s="186"/>
      <c r="C101" s="186"/>
      <c r="D101" s="186"/>
    </row>
    <row r="102" spans="1:4">
      <c r="A102" s="21" t="s">
        <v>145</v>
      </c>
      <c r="B102" s="2" t="s">
        <v>146</v>
      </c>
      <c r="C102" s="22" t="s">
        <v>18</v>
      </c>
      <c r="D102" s="22" t="s">
        <v>19</v>
      </c>
    </row>
    <row r="103" spans="1:4" ht="105">
      <c r="A103" s="21" t="s">
        <v>42</v>
      </c>
      <c r="B103" s="47" t="s">
        <v>147</v>
      </c>
      <c r="C103" s="48" t="s">
        <v>215</v>
      </c>
      <c r="D103" s="49" t="s">
        <v>216</v>
      </c>
    </row>
    <row r="104" spans="1:4">
      <c r="A104" s="21" t="s">
        <v>58</v>
      </c>
      <c r="C104" s="50"/>
      <c r="D104" s="51" t="str">
        <f>D103</f>
        <v>*=TRUNCAR(($D$86/220)*(1*(365/12))/2)</v>
      </c>
    </row>
    <row r="106" spans="1:4">
      <c r="A106" s="184" t="s">
        <v>148</v>
      </c>
      <c r="B106" s="186"/>
      <c r="C106" s="186"/>
      <c r="D106" s="186"/>
    </row>
    <row r="107" spans="1:4">
      <c r="A107" s="21" t="s">
        <v>149</v>
      </c>
      <c r="B107" s="2" t="s">
        <v>150</v>
      </c>
      <c r="C107" s="22" t="s">
        <v>18</v>
      </c>
      <c r="D107" s="22" t="s">
        <v>19</v>
      </c>
    </row>
    <row r="108" spans="1:4">
      <c r="A108" s="21" t="s">
        <v>129</v>
      </c>
      <c r="B108" t="s">
        <v>130</v>
      </c>
      <c r="D108" s="24">
        <f>D99</f>
        <v>89.93</v>
      </c>
    </row>
    <row r="109" spans="1:4">
      <c r="A109" s="21" t="s">
        <v>145</v>
      </c>
      <c r="B109" t="s">
        <v>151</v>
      </c>
      <c r="C109" s="2"/>
      <c r="D109" s="52" t="str">
        <f>Submódulo4.260_138[[#Totals],[Valor]]</f>
        <v>*=TRUNCAR(($D$86/220)*(1*(365/12))/2)</v>
      </c>
    </row>
    <row r="110" spans="1:4" ht="75">
      <c r="A110" s="21" t="s">
        <v>58</v>
      </c>
      <c r="B110" s="40"/>
      <c r="C110" s="48" t="s">
        <v>217</v>
      </c>
      <c r="D110" s="53">
        <f>TRUNC((SUM(D108:D109)),2)</f>
        <v>89.93</v>
      </c>
    </row>
    <row r="112" spans="1:4">
      <c r="A112" s="190" t="s">
        <v>152</v>
      </c>
      <c r="B112" s="183"/>
      <c r="C112" s="183"/>
      <c r="D112" s="183"/>
    </row>
    <row r="113" spans="1:11" ht="30">
      <c r="A113" s="21" t="s">
        <v>153</v>
      </c>
      <c r="B113" s="21" t="s">
        <v>154</v>
      </c>
      <c r="C113" s="21" t="s">
        <v>18</v>
      </c>
      <c r="D113" s="21" t="s">
        <v>19</v>
      </c>
      <c r="H113" s="54" t="s">
        <v>218</v>
      </c>
      <c r="I113" s="55" t="s">
        <v>219</v>
      </c>
      <c r="J113" s="55" t="s">
        <v>220</v>
      </c>
      <c r="K113" s="55" t="s">
        <v>221</v>
      </c>
    </row>
    <row r="114" spans="1:11">
      <c r="A114" s="21" t="s">
        <v>42</v>
      </c>
      <c r="B114" t="s">
        <v>222</v>
      </c>
      <c r="D114" s="56">
        <f>F114</f>
        <v>0</v>
      </c>
      <c r="F114" cm="1">
        <f t="array" ref="F114:G114">'Uniformes e EPI'!G110:H110</f>
        <v>0</v>
      </c>
      <c r="G114">
        <v>0</v>
      </c>
      <c r="H114" s="57" t="s">
        <v>223</v>
      </c>
      <c r="I114" s="58">
        <v>0</v>
      </c>
      <c r="J114" s="59">
        <v>70</v>
      </c>
      <c r="K114" s="59">
        <f>TRUNC(J114*I114,2)</f>
        <v>0</v>
      </c>
    </row>
    <row r="115" spans="1:11">
      <c r="A115" s="21" t="s">
        <v>45</v>
      </c>
      <c r="B115" t="s">
        <v>224</v>
      </c>
      <c r="D115" s="56">
        <v>0</v>
      </c>
      <c r="H115" s="60" t="s">
        <v>225</v>
      </c>
      <c r="I115" s="61">
        <v>0</v>
      </c>
      <c r="J115" s="62">
        <v>35</v>
      </c>
      <c r="K115" s="59">
        <f>TRUNC(J115*I115,2)</f>
        <v>0</v>
      </c>
    </row>
    <row r="116" spans="1:11">
      <c r="A116" s="21" t="s">
        <v>48</v>
      </c>
      <c r="B116" t="s">
        <v>156</v>
      </c>
      <c r="D116" s="56">
        <v>0</v>
      </c>
      <c r="H116" s="194" t="s">
        <v>204</v>
      </c>
      <c r="I116" s="195"/>
      <c r="J116" s="196">
        <f>TRUNC(SUM(K114:K115),2)</f>
        <v>0</v>
      </c>
      <c r="K116" s="197"/>
    </row>
    <row r="117" spans="1:11">
      <c r="A117" s="21" t="s">
        <v>50</v>
      </c>
      <c r="B117" t="s">
        <v>157</v>
      </c>
      <c r="D117" s="56">
        <v>0</v>
      </c>
      <c r="H117" s="194" t="s">
        <v>226</v>
      </c>
      <c r="I117" s="195"/>
      <c r="J117" s="196">
        <f>TRUNC(J116/12,2)</f>
        <v>0</v>
      </c>
      <c r="K117" s="197"/>
    </row>
    <row r="118" spans="1:11">
      <c r="A118" s="21" t="s">
        <v>53</v>
      </c>
      <c r="B118" t="s">
        <v>227</v>
      </c>
      <c r="D118" s="56">
        <f>J117</f>
        <v>0</v>
      </c>
      <c r="H118" s="193" t="s">
        <v>228</v>
      </c>
      <c r="I118" s="193"/>
      <c r="J118" s="193"/>
      <c r="K118" s="193"/>
    </row>
    <row r="119" spans="1:11">
      <c r="A119" s="21" t="s">
        <v>58</v>
      </c>
      <c r="D119" s="63">
        <f>TRUNC(SUM(D114:D118),2)</f>
        <v>0</v>
      </c>
      <c r="H119" s="193"/>
      <c r="I119" s="193"/>
      <c r="J119" s="193"/>
      <c r="K119" s="193"/>
    </row>
    <row r="121" spans="1:11">
      <c r="A121" s="192" t="s">
        <v>229</v>
      </c>
      <c r="B121" s="192"/>
      <c r="C121" s="33" t="s">
        <v>202</v>
      </c>
      <c r="D121" s="34">
        <f>D31</f>
        <v>1320</v>
      </c>
    </row>
    <row r="122" spans="1:11">
      <c r="A122" s="192"/>
      <c r="B122" s="192"/>
      <c r="C122" s="35" t="s">
        <v>212</v>
      </c>
      <c r="D122" s="34">
        <f>D73</f>
        <v>1269.83</v>
      </c>
    </row>
    <row r="123" spans="1:11">
      <c r="A123" s="192"/>
      <c r="B123" s="192"/>
      <c r="C123" s="33" t="s">
        <v>213</v>
      </c>
      <c r="D123" s="34">
        <f>D83</f>
        <v>79</v>
      </c>
    </row>
    <row r="124" spans="1:11">
      <c r="A124" s="192"/>
      <c r="B124" s="192"/>
      <c r="C124" s="35" t="s">
        <v>230</v>
      </c>
      <c r="D124" s="34">
        <f>D110</f>
        <v>89.93</v>
      </c>
    </row>
    <row r="125" spans="1:11">
      <c r="A125" s="192"/>
      <c r="B125" s="192"/>
      <c r="C125" s="33" t="s">
        <v>231</v>
      </c>
      <c r="D125" s="34">
        <f>D119</f>
        <v>0</v>
      </c>
    </row>
    <row r="126" spans="1:11">
      <c r="A126" s="192"/>
      <c r="B126" s="192"/>
      <c r="C126" s="35" t="s">
        <v>204</v>
      </c>
      <c r="D126" s="36">
        <f>TRUNC((SUM(D121:D125)),2)</f>
        <v>2758.76</v>
      </c>
    </row>
    <row r="128" spans="1:11">
      <c r="A128" s="190" t="s">
        <v>164</v>
      </c>
      <c r="B128" s="183"/>
      <c r="C128" s="183"/>
      <c r="D128" s="183"/>
    </row>
    <row r="129" spans="1:9">
      <c r="A129" s="21" t="s">
        <v>165</v>
      </c>
      <c r="B129" t="s">
        <v>166</v>
      </c>
      <c r="C129" s="22" t="s">
        <v>38</v>
      </c>
      <c r="D129" s="22" t="s">
        <v>19</v>
      </c>
      <c r="H129" s="191" t="s">
        <v>232</v>
      </c>
      <c r="I129" s="191"/>
    </row>
    <row r="130" spans="1:9">
      <c r="A130" s="21" t="s">
        <v>42</v>
      </c>
      <c r="B130" t="s">
        <v>167</v>
      </c>
      <c r="C130" s="38">
        <v>0</v>
      </c>
      <c r="D130" s="24">
        <f>TRUNC(($D$126*C130),2)</f>
        <v>0</v>
      </c>
      <c r="H130" s="57" t="s">
        <v>233</v>
      </c>
      <c r="I130" s="45">
        <f>C132</f>
        <v>8.6499999999999994E-2</v>
      </c>
    </row>
    <row r="131" spans="1:9">
      <c r="A131" s="21" t="s">
        <v>45</v>
      </c>
      <c r="B131" t="s">
        <v>59</v>
      </c>
      <c r="C131" s="38">
        <v>0</v>
      </c>
      <c r="D131" s="24">
        <f>TRUNC((C131*(D126+D130)),2)</f>
        <v>0</v>
      </c>
      <c r="H131" s="64" t="s">
        <v>234</v>
      </c>
      <c r="I131" s="65">
        <f>TRUNC(SUM(D126,D130,D131),2)</f>
        <v>2758.76</v>
      </c>
    </row>
    <row r="132" spans="1:9">
      <c r="A132" s="21" t="s">
        <v>48</v>
      </c>
      <c r="B132" t="s">
        <v>168</v>
      </c>
      <c r="C132" s="38">
        <f>SUM(C133:C135)</f>
        <v>8.6499999999999994E-2</v>
      </c>
      <c r="D132" s="24">
        <f>TRUNC((SUM(D133:D135)),2)</f>
        <v>261.2</v>
      </c>
      <c r="H132" s="57" t="s">
        <v>235</v>
      </c>
      <c r="I132" s="66">
        <f>(100-8.65)/100</f>
        <v>0.91349999999999998</v>
      </c>
    </row>
    <row r="133" spans="1:9">
      <c r="A133" s="21"/>
      <c r="B133" t="s">
        <v>236</v>
      </c>
      <c r="C133" s="38">
        <v>6.4999999999999997E-3</v>
      </c>
      <c r="D133" s="24">
        <f t="shared" ref="D133:D135" si="3">TRUNC(($I$133*C133),2)</f>
        <v>19.62</v>
      </c>
      <c r="H133" s="64" t="s">
        <v>232</v>
      </c>
      <c r="I133" s="65">
        <f>TRUNC((I131/I132),2)</f>
        <v>3019.98</v>
      </c>
    </row>
    <row r="134" spans="1:9">
      <c r="A134" s="21"/>
      <c r="B134" t="s">
        <v>237</v>
      </c>
      <c r="C134" s="38">
        <v>0.03</v>
      </c>
      <c r="D134" s="24">
        <f t="shared" si="3"/>
        <v>90.59</v>
      </c>
    </row>
    <row r="135" spans="1:9">
      <c r="A135" s="21"/>
      <c r="B135" t="s">
        <v>238</v>
      </c>
      <c r="C135" s="38">
        <v>0.05</v>
      </c>
      <c r="D135" s="24">
        <f t="shared" si="3"/>
        <v>150.99</v>
      </c>
    </row>
    <row r="136" spans="1:9">
      <c r="A136" s="21" t="s">
        <v>58</v>
      </c>
      <c r="C136" s="67"/>
      <c r="D136" s="28">
        <f>TRUNC(SUM(D130:D132),2)</f>
        <v>261.2</v>
      </c>
    </row>
    <row r="137" spans="1:9">
      <c r="A137" s="21"/>
      <c r="C137" s="67"/>
      <c r="D137" s="28"/>
    </row>
    <row r="139" spans="1:9">
      <c r="A139" s="190" t="s">
        <v>172</v>
      </c>
      <c r="B139" s="183"/>
      <c r="C139" s="183"/>
      <c r="D139" s="183"/>
    </row>
    <row r="140" spans="1:9">
      <c r="A140" s="21" t="s">
        <v>16</v>
      </c>
      <c r="B140" s="22" t="s">
        <v>173</v>
      </c>
      <c r="C140" s="22" t="s">
        <v>102</v>
      </c>
      <c r="D140" s="22" t="s">
        <v>19</v>
      </c>
    </row>
    <row r="141" spans="1:9">
      <c r="A141" s="21" t="s">
        <v>42</v>
      </c>
      <c r="B141" t="s">
        <v>36</v>
      </c>
      <c r="D141" s="28">
        <f>D31</f>
        <v>1320</v>
      </c>
    </row>
    <row r="142" spans="1:9">
      <c r="A142" s="21" t="s">
        <v>45</v>
      </c>
      <c r="B142" t="s">
        <v>61</v>
      </c>
      <c r="D142" s="28">
        <f>D73</f>
        <v>1269.83</v>
      </c>
    </row>
    <row r="143" spans="1:9">
      <c r="A143" s="21" t="s">
        <v>48</v>
      </c>
      <c r="B143" t="s">
        <v>108</v>
      </c>
      <c r="D143" s="28">
        <f>D83</f>
        <v>79</v>
      </c>
    </row>
    <row r="144" spans="1:9">
      <c r="A144" s="21" t="s">
        <v>50</v>
      </c>
      <c r="B144" t="s">
        <v>174</v>
      </c>
      <c r="D144" s="28">
        <f>D110</f>
        <v>89.93</v>
      </c>
    </row>
    <row r="145" spans="1:4">
      <c r="A145" s="21" t="s">
        <v>53</v>
      </c>
      <c r="B145" t="s">
        <v>152</v>
      </c>
      <c r="D145" s="28">
        <f>D119</f>
        <v>0</v>
      </c>
    </row>
    <row r="146" spans="1:4">
      <c r="B146" s="68" t="s">
        <v>175</v>
      </c>
      <c r="D146" s="28">
        <f>TRUNC(SUM(D141:D145),2)</f>
        <v>2758.76</v>
      </c>
    </row>
    <row r="147" spans="1:4">
      <c r="A147" s="21" t="s">
        <v>55</v>
      </c>
      <c r="B147" t="s">
        <v>164</v>
      </c>
      <c r="D147" s="28">
        <f>D136</f>
        <v>261.2</v>
      </c>
    </row>
    <row r="148" spans="1:4">
      <c r="A148" s="69"/>
      <c r="B148" s="70" t="s">
        <v>240</v>
      </c>
      <c r="C148" s="71"/>
      <c r="D148" s="72">
        <f>TRUNC((SUM(D141:D145)+D147),2)</f>
        <v>3019.96</v>
      </c>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A91:D91"/>
    <mergeCell ref="A101:D101"/>
    <mergeCell ref="H31:I31"/>
    <mergeCell ref="A33:D33"/>
    <mergeCell ref="A35:D35"/>
    <mergeCell ref="A45:D45"/>
    <mergeCell ref="A57:D57"/>
    <mergeCell ref="A128:D128"/>
    <mergeCell ref="H129:I129"/>
    <mergeCell ref="A139:D139"/>
    <mergeCell ref="A41:B43"/>
    <mergeCell ref="A85:B88"/>
    <mergeCell ref="A121:B126"/>
    <mergeCell ref="H118:K119"/>
    <mergeCell ref="A106:D106"/>
    <mergeCell ref="A112:D112"/>
    <mergeCell ref="H116:I116"/>
    <mergeCell ref="J116:K116"/>
    <mergeCell ref="H117:I117"/>
    <mergeCell ref="J117:K117"/>
    <mergeCell ref="A68:D68"/>
    <mergeCell ref="A75:D75"/>
    <mergeCell ref="A90:D90"/>
  </mergeCells>
  <pageMargins left="0.25" right="0.25" top="0.75" bottom="0.75" header="0.3" footer="0.3"/>
  <pageSetup paperSize="9" scale="50" fitToHeight="0" orientation="portrait"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B69F6-D7F5-441A-825C-CBE4AA797358}">
  <sheetPr>
    <pageSetUpPr fitToPage="1"/>
  </sheetPr>
  <dimension ref="A2:K148"/>
  <sheetViews>
    <sheetView workbookViewId="0">
      <selection activeCell="I5" sqref="I5"/>
    </sheetView>
  </sheetViews>
  <sheetFormatPr defaultColWidth="9.140625" defaultRowHeight="15"/>
  <cols>
    <col min="1" max="1" width="10.5703125" style="4" customWidth="1"/>
    <col min="2" max="2" width="54.28515625" customWidth="1"/>
    <col min="3" max="3" width="23.85546875" customWidth="1"/>
    <col min="4" max="4" width="41" customWidth="1"/>
    <col min="6" max="7" width="0" hidden="1" customWidth="1"/>
    <col min="8" max="8" width="22.85546875" customWidth="1"/>
    <col min="9" max="9" width="13.28515625" customWidth="1"/>
    <col min="10" max="10" width="12" customWidth="1"/>
    <col min="11" max="11" width="12.28515625" customWidth="1"/>
  </cols>
  <sheetData>
    <row r="2" spans="1:9" ht="19.5" thickBot="1">
      <c r="A2" s="208" t="s">
        <v>177</v>
      </c>
      <c r="B2" s="209"/>
      <c r="C2" s="209"/>
      <c r="D2" s="209"/>
    </row>
    <row r="3" spans="1:9" ht="15.75" thickTop="1">
      <c r="A3" s="214" t="str">
        <f>Pedreiro!A3</f>
        <v>Processo Administrativo n.° 23324.000132.2023-89</v>
      </c>
      <c r="B3" s="215"/>
      <c r="C3" s="215"/>
      <c r="D3" s="215"/>
    </row>
    <row r="4" spans="1:9" ht="21" customHeight="1">
      <c r="A4" s="5" t="s">
        <v>178</v>
      </c>
      <c r="B4" s="111" t="s">
        <v>419</v>
      </c>
      <c r="C4" s="7"/>
      <c r="D4" s="7"/>
    </row>
    <row r="5" spans="1:9">
      <c r="A5" s="8"/>
      <c r="B5" s="9"/>
      <c r="C5" s="9"/>
      <c r="D5" s="9"/>
    </row>
    <row r="6" spans="1:9" ht="15.75" thickBot="1">
      <c r="A6" s="190" t="s">
        <v>179</v>
      </c>
      <c r="B6" s="183"/>
      <c r="C6" s="183"/>
      <c r="D6" s="183"/>
    </row>
    <row r="7" spans="1:9" ht="15.75" thickTop="1">
      <c r="A7" s="10" t="s">
        <v>42</v>
      </c>
      <c r="B7" s="11" t="s">
        <v>180</v>
      </c>
      <c r="C7" s="212" t="s">
        <v>420</v>
      </c>
      <c r="D7" s="213"/>
    </row>
    <row r="8" spans="1:9">
      <c r="A8" s="12" t="s">
        <v>45</v>
      </c>
      <c r="B8" s="13" t="s">
        <v>181</v>
      </c>
      <c r="C8" s="203" t="s">
        <v>182</v>
      </c>
      <c r="D8" s="203"/>
    </row>
    <row r="9" spans="1:9">
      <c r="A9" s="15" t="s">
        <v>48</v>
      </c>
      <c r="B9" s="16" t="s">
        <v>183</v>
      </c>
      <c r="C9" s="203" t="s">
        <v>184</v>
      </c>
      <c r="D9" s="203"/>
    </row>
    <row r="10" spans="1:9">
      <c r="A10" s="12" t="s">
        <v>53</v>
      </c>
      <c r="B10" s="13" t="s">
        <v>185</v>
      </c>
      <c r="C10" s="203" t="s">
        <v>186</v>
      </c>
      <c r="D10" s="203"/>
    </row>
    <row r="11" spans="1:9" ht="15.75" thickBot="1">
      <c r="A11" s="201" t="s">
        <v>187</v>
      </c>
      <c r="B11" s="202"/>
      <c r="C11" s="202"/>
      <c r="D11" s="202"/>
    </row>
    <row r="12" spans="1:9" ht="16.5" thickTop="1" thickBot="1">
      <c r="A12" s="204" t="s">
        <v>188</v>
      </c>
      <c r="B12" s="205"/>
      <c r="C12" s="109" t="s">
        <v>189</v>
      </c>
      <c r="D12" s="18" t="s">
        <v>190</v>
      </c>
    </row>
    <row r="13" spans="1:9" ht="15.75" thickTop="1">
      <c r="A13" s="206" t="s">
        <v>309</v>
      </c>
      <c r="B13" s="207"/>
      <c r="C13" s="108" t="s">
        <v>192</v>
      </c>
      <c r="D13" s="19">
        <v>3</v>
      </c>
    </row>
    <row r="14" spans="1:9">
      <c r="A14" s="199"/>
      <c r="B14" s="200"/>
      <c r="C14" s="108"/>
      <c r="D14" s="20"/>
    </row>
    <row r="15" spans="1:9" ht="15.75" thickBot="1">
      <c r="A15" s="201" t="s">
        <v>14</v>
      </c>
      <c r="B15" s="202"/>
      <c r="C15" s="202"/>
      <c r="D15" s="202"/>
      <c r="H15" s="186"/>
      <c r="I15" s="186"/>
    </row>
    <row r="16" spans="1:9" ht="15.75" thickTop="1">
      <c r="A16" s="21" t="s">
        <v>16</v>
      </c>
      <c r="B16" t="s">
        <v>17</v>
      </c>
      <c r="C16" s="22" t="s">
        <v>18</v>
      </c>
      <c r="D16" s="22" t="s">
        <v>19</v>
      </c>
    </row>
    <row r="17" spans="1:9">
      <c r="A17" s="21">
        <v>1</v>
      </c>
      <c r="B17" t="s">
        <v>20</v>
      </c>
      <c r="C17" s="23" t="s">
        <v>102</v>
      </c>
      <c r="D17" s="23" t="str">
        <f>A13</f>
        <v>Auxiliar de Cozinha</v>
      </c>
    </row>
    <row r="18" spans="1:9">
      <c r="A18" s="21">
        <v>2</v>
      </c>
      <c r="B18" t="s">
        <v>23</v>
      </c>
      <c r="C18" s="23" t="s">
        <v>193</v>
      </c>
      <c r="D18" s="23" t="s">
        <v>310</v>
      </c>
    </row>
    <row r="19" spans="1:9">
      <c r="A19" s="21">
        <v>3</v>
      </c>
      <c r="B19" t="s">
        <v>26</v>
      </c>
      <c r="C19" s="23" t="str">
        <f>C9</f>
        <v>CCT PB000517/2021</v>
      </c>
      <c r="D19" s="24">
        <v>1320</v>
      </c>
    </row>
    <row r="20" spans="1:9">
      <c r="A20" s="21">
        <v>4</v>
      </c>
      <c r="B20" t="s">
        <v>29</v>
      </c>
      <c r="C20" s="23" t="str">
        <f>C9</f>
        <v>CCT PB000517/2021</v>
      </c>
      <c r="D20" s="25" t="s">
        <v>195</v>
      </c>
    </row>
    <row r="21" spans="1:9">
      <c r="A21" s="21">
        <v>5</v>
      </c>
      <c r="B21" t="s">
        <v>33</v>
      </c>
      <c r="C21" s="23" t="str">
        <f>C9</f>
        <v>CCT PB000517/2021</v>
      </c>
      <c r="D21" s="26" t="s">
        <v>196</v>
      </c>
    </row>
    <row r="22" spans="1:9">
      <c r="H22" s="186"/>
      <c r="I22" s="186"/>
    </row>
    <row r="23" spans="1:9">
      <c r="A23" s="190" t="s">
        <v>36</v>
      </c>
      <c r="B23" s="183"/>
      <c r="C23" s="183"/>
      <c r="D23" s="183"/>
    </row>
    <row r="24" spans="1:9">
      <c r="A24" s="21" t="s">
        <v>39</v>
      </c>
      <c r="B24" s="2" t="s">
        <v>40</v>
      </c>
      <c r="C24" s="22" t="s">
        <v>18</v>
      </c>
      <c r="D24" s="22" t="s">
        <v>19</v>
      </c>
      <c r="I24" s="27"/>
    </row>
    <row r="25" spans="1:9">
      <c r="A25" s="21" t="s">
        <v>42</v>
      </c>
      <c r="B25" t="s">
        <v>43</v>
      </c>
      <c r="C25" s="25" t="s">
        <v>249</v>
      </c>
      <c r="D25" s="24">
        <f>D19</f>
        <v>1320</v>
      </c>
      <c r="I25" s="27"/>
    </row>
    <row r="26" spans="1:9">
      <c r="A26" s="21" t="s">
        <v>45</v>
      </c>
      <c r="B26" t="s">
        <v>198</v>
      </c>
      <c r="C26" s="25"/>
      <c r="D26" s="24">
        <v>0</v>
      </c>
      <c r="I26" s="27"/>
    </row>
    <row r="27" spans="1:9">
      <c r="A27" s="21" t="s">
        <v>48</v>
      </c>
      <c r="B27" t="s">
        <v>199</v>
      </c>
      <c r="C27" s="25"/>
      <c r="D27" s="24">
        <v>0</v>
      </c>
    </row>
    <row r="28" spans="1:9">
      <c r="A28" s="21" t="s">
        <v>50</v>
      </c>
      <c r="B28" t="s">
        <v>51</v>
      </c>
      <c r="C28" s="25"/>
      <c r="D28" s="24">
        <v>0</v>
      </c>
    </row>
    <row r="29" spans="1:9">
      <c r="A29" s="21" t="s">
        <v>53</v>
      </c>
      <c r="B29" t="s">
        <v>54</v>
      </c>
      <c r="C29" s="25"/>
      <c r="D29" s="24">
        <v>0</v>
      </c>
    </row>
    <row r="30" spans="1:9">
      <c r="A30" s="21" t="s">
        <v>55</v>
      </c>
      <c r="B30" t="s">
        <v>56</v>
      </c>
      <c r="C30" s="25"/>
      <c r="D30" s="24">
        <v>0</v>
      </c>
    </row>
    <row r="31" spans="1:9">
      <c r="A31" s="21" t="s">
        <v>58</v>
      </c>
      <c r="C31" s="22"/>
      <c r="D31" s="28">
        <f>TRUNC((SUM(D25:D30)),2)</f>
        <v>1320</v>
      </c>
      <c r="H31" s="186"/>
      <c r="I31" s="186"/>
    </row>
    <row r="32" spans="1:9">
      <c r="B32" s="29" t="s">
        <v>200</v>
      </c>
    </row>
    <row r="33" spans="1:9">
      <c r="A33" s="192" t="s">
        <v>61</v>
      </c>
      <c r="B33" s="187"/>
      <c r="C33" s="187"/>
      <c r="D33" s="187"/>
      <c r="I33" s="27"/>
    </row>
    <row r="35" spans="1:9">
      <c r="A35" s="184" t="s">
        <v>63</v>
      </c>
      <c r="B35" s="186"/>
      <c r="C35" s="186"/>
      <c r="D35" s="186"/>
    </row>
    <row r="36" spans="1:9">
      <c r="A36" s="21" t="s">
        <v>65</v>
      </c>
      <c r="B36" s="2" t="s">
        <v>66</v>
      </c>
      <c r="C36" s="22" t="s">
        <v>38</v>
      </c>
      <c r="D36" s="22" t="s">
        <v>19</v>
      </c>
    </row>
    <row r="37" spans="1:9">
      <c r="A37" s="21" t="s">
        <v>42</v>
      </c>
      <c r="B37" t="s">
        <v>67</v>
      </c>
      <c r="C37" s="31">
        <f>(1/12)</f>
        <v>8.3333333333333329E-2</v>
      </c>
      <c r="D37" s="28">
        <f>TRUNC($D$31*C37,2)</f>
        <v>110</v>
      </c>
      <c r="H37" s="32"/>
      <c r="I37" s="32"/>
    </row>
    <row r="38" spans="1:9">
      <c r="A38" s="21" t="s">
        <v>45</v>
      </c>
      <c r="B38" t="s">
        <v>68</v>
      </c>
      <c r="C38" s="31">
        <f>(((1+1/3)/12))</f>
        <v>0.1111111111111111</v>
      </c>
      <c r="D38" s="28">
        <f>TRUNC($D$31*C38,2)</f>
        <v>146.66</v>
      </c>
      <c r="H38" s="32"/>
      <c r="I38" s="32"/>
    </row>
    <row r="39" spans="1:9">
      <c r="A39" s="21" t="s">
        <v>58</v>
      </c>
      <c r="D39" s="28">
        <f>TRUNC((SUM(D37:D38)),2)</f>
        <v>256.66000000000003</v>
      </c>
      <c r="H39" s="32"/>
      <c r="I39" s="32"/>
    </row>
    <row r="40" spans="1:9" ht="15.75" thickBot="1">
      <c r="D40" s="28"/>
      <c r="H40" s="32"/>
      <c r="I40" s="32"/>
    </row>
    <row r="41" spans="1:9" ht="16.5" thickTop="1" thickBot="1">
      <c r="A41" s="192" t="s">
        <v>201</v>
      </c>
      <c r="B41" s="192"/>
      <c r="C41" s="33" t="s">
        <v>202</v>
      </c>
      <c r="D41" s="34">
        <f>D31</f>
        <v>1320</v>
      </c>
      <c r="H41" s="32"/>
      <c r="I41" s="32"/>
    </row>
    <row r="42" spans="1:9" ht="16.5" thickTop="1" thickBot="1">
      <c r="A42" s="192"/>
      <c r="B42" s="192"/>
      <c r="C42" s="35" t="s">
        <v>203</v>
      </c>
      <c r="D42" s="34">
        <f>D39</f>
        <v>256.66000000000003</v>
      </c>
      <c r="H42" s="32"/>
      <c r="I42" s="32"/>
    </row>
    <row r="43" spans="1:9" ht="16.5" thickTop="1" thickBot="1">
      <c r="A43" s="192"/>
      <c r="B43" s="192"/>
      <c r="C43" s="33" t="s">
        <v>204</v>
      </c>
      <c r="D43" s="36">
        <f>TRUNC((SUM(D41:D42)),2)</f>
        <v>1576.66</v>
      </c>
      <c r="H43" s="32"/>
      <c r="I43" s="32"/>
    </row>
    <row r="44" spans="1:9" ht="15.75" thickTop="1">
      <c r="A44" s="21"/>
      <c r="C44" s="37"/>
      <c r="D44" s="28"/>
      <c r="H44" s="32"/>
      <c r="I44" s="32"/>
    </row>
    <row r="45" spans="1:9">
      <c r="A45" s="184" t="s">
        <v>77</v>
      </c>
      <c r="B45" s="186"/>
      <c r="C45" s="186"/>
      <c r="D45" s="186"/>
    </row>
    <row r="46" spans="1:9">
      <c r="A46" s="21" t="s">
        <v>78</v>
      </c>
      <c r="B46" s="2" t="s">
        <v>79</v>
      </c>
      <c r="C46" s="22" t="s">
        <v>38</v>
      </c>
      <c r="D46" s="22" t="s">
        <v>80</v>
      </c>
    </row>
    <row r="47" spans="1:9">
      <c r="A47" s="21" t="s">
        <v>42</v>
      </c>
      <c r="B47" t="s">
        <v>81</v>
      </c>
      <c r="C47" s="31">
        <v>0.2</v>
      </c>
      <c r="D47" s="28">
        <f t="shared" ref="D47:D54" si="0">TRUNC(($D$43*C47),2)</f>
        <v>315.33</v>
      </c>
    </row>
    <row r="48" spans="1:9">
      <c r="A48" s="21" t="s">
        <v>45</v>
      </c>
      <c r="B48" t="s">
        <v>82</v>
      </c>
      <c r="C48" s="31">
        <v>2.5000000000000001E-2</v>
      </c>
      <c r="D48" s="28">
        <f t="shared" si="0"/>
        <v>39.409999999999997</v>
      </c>
    </row>
    <row r="49" spans="1:8">
      <c r="A49" s="21" t="s">
        <v>48</v>
      </c>
      <c r="B49" t="s">
        <v>205</v>
      </c>
      <c r="C49" s="38">
        <v>0.03</v>
      </c>
      <c r="D49" s="24">
        <f t="shared" si="0"/>
        <v>47.29</v>
      </c>
    </row>
    <row r="50" spans="1:8">
      <c r="A50" s="21" t="s">
        <v>50</v>
      </c>
      <c r="B50" t="s">
        <v>84</v>
      </c>
      <c r="C50" s="31">
        <v>1.4999999999999999E-2</v>
      </c>
      <c r="D50" s="28">
        <f t="shared" si="0"/>
        <v>23.64</v>
      </c>
    </row>
    <row r="51" spans="1:8">
      <c r="A51" s="21" t="s">
        <v>53</v>
      </c>
      <c r="B51" t="s">
        <v>85</v>
      </c>
      <c r="C51" s="31">
        <v>0.01</v>
      </c>
      <c r="D51" s="28">
        <f t="shared" si="0"/>
        <v>15.76</v>
      </c>
    </row>
    <row r="52" spans="1:8">
      <c r="A52" s="21" t="s">
        <v>55</v>
      </c>
      <c r="B52" t="s">
        <v>86</v>
      </c>
      <c r="C52" s="31">
        <v>6.0000000000000001E-3</v>
      </c>
      <c r="D52" s="28">
        <f t="shared" si="0"/>
        <v>9.4499999999999993</v>
      </c>
    </row>
    <row r="53" spans="1:8">
      <c r="A53" s="21" t="s">
        <v>87</v>
      </c>
      <c r="B53" t="s">
        <v>88</v>
      </c>
      <c r="C53" s="31">
        <v>2E-3</v>
      </c>
      <c r="D53" s="28">
        <f t="shared" si="0"/>
        <v>3.15</v>
      </c>
    </row>
    <row r="54" spans="1:8">
      <c r="A54" s="21" t="s">
        <v>89</v>
      </c>
      <c r="B54" t="s">
        <v>90</v>
      </c>
      <c r="C54" s="31">
        <v>0.08</v>
      </c>
      <c r="D54" s="28">
        <f t="shared" si="0"/>
        <v>126.13</v>
      </c>
    </row>
    <row r="55" spans="1:8">
      <c r="A55" s="21" t="s">
        <v>58</v>
      </c>
      <c r="C55" s="37">
        <f>SUM(C47:C54)</f>
        <v>0.36800000000000005</v>
      </c>
      <c r="D55" s="28">
        <f>TRUNC((SUM(D47:D54)),2)</f>
        <v>580.16</v>
      </c>
    </row>
    <row r="56" spans="1:8">
      <c r="A56" s="21"/>
      <c r="C56" s="37"/>
      <c r="D56" s="28"/>
    </row>
    <row r="57" spans="1:8">
      <c r="A57" s="184" t="s">
        <v>95</v>
      </c>
      <c r="B57" s="186"/>
      <c r="C57" s="186"/>
      <c r="D57" s="186"/>
    </row>
    <row r="58" spans="1:8">
      <c r="A58" s="21" t="s">
        <v>96</v>
      </c>
      <c r="B58" s="2" t="s">
        <v>97</v>
      </c>
      <c r="C58" s="22" t="s">
        <v>18</v>
      </c>
      <c r="D58" s="22" t="s">
        <v>19</v>
      </c>
    </row>
    <row r="59" spans="1:8">
      <c r="A59" s="21" t="s">
        <v>42</v>
      </c>
      <c r="B59" t="s">
        <v>98</v>
      </c>
      <c r="C59" s="23"/>
      <c r="D59" s="39">
        <v>0</v>
      </c>
    </row>
    <row r="60" spans="1:8">
      <c r="A60" s="21" t="s">
        <v>45</v>
      </c>
      <c r="B60" t="s">
        <v>99</v>
      </c>
      <c r="C60" s="23" t="str">
        <f>C9</f>
        <v>CCT PB000517/2021</v>
      </c>
      <c r="D60" s="24">
        <f>TRUNC((((22*20.91))-(((22*20.91))*0.2)),2)</f>
        <v>368.01</v>
      </c>
    </row>
    <row r="61" spans="1:8">
      <c r="A61" s="21" t="s">
        <v>48</v>
      </c>
      <c r="B61" t="s">
        <v>100</v>
      </c>
      <c r="C61" s="23"/>
      <c r="D61" s="24">
        <v>0</v>
      </c>
    </row>
    <row r="62" spans="1:8">
      <c r="A62" s="21" t="s">
        <v>50</v>
      </c>
      <c r="B62" s="40" t="s">
        <v>206</v>
      </c>
      <c r="C62" s="41"/>
      <c r="D62" s="41">
        <v>0</v>
      </c>
      <c r="H62" s="40"/>
    </row>
    <row r="63" spans="1:8">
      <c r="A63" s="21" t="s">
        <v>53</v>
      </c>
      <c r="B63" s="2" t="s">
        <v>207</v>
      </c>
      <c r="C63" s="23" t="str">
        <f>C60</f>
        <v>CCT PB000517/2021</v>
      </c>
      <c r="D63" s="24">
        <v>20</v>
      </c>
    </row>
    <row r="64" spans="1:8">
      <c r="A64" s="21" t="s">
        <v>55</v>
      </c>
      <c r="B64" s="42" t="s">
        <v>208</v>
      </c>
      <c r="C64" s="23" t="str">
        <f>C9</f>
        <v>CCT PB000517/2021</v>
      </c>
      <c r="D64" s="24">
        <v>5</v>
      </c>
    </row>
    <row r="65" spans="1:4">
      <c r="A65" s="21" t="s">
        <v>87</v>
      </c>
      <c r="B65" s="42" t="s">
        <v>209</v>
      </c>
      <c r="C65" s="41" t="str">
        <f>C60</f>
        <v>CCT PB000517/2021</v>
      </c>
      <c r="D65" s="24">
        <v>40</v>
      </c>
    </row>
    <row r="66" spans="1:4">
      <c r="A66" s="21" t="s">
        <v>58</v>
      </c>
      <c r="D66" s="28">
        <f>TRUNC((SUM(D59:D65)),2)</f>
        <v>433.01</v>
      </c>
    </row>
    <row r="67" spans="1:4">
      <c r="A67" s="21"/>
      <c r="D67" s="28"/>
    </row>
    <row r="68" spans="1:4">
      <c r="A68" s="184" t="s">
        <v>105</v>
      </c>
      <c r="B68" s="186"/>
      <c r="C68" s="186"/>
      <c r="D68" s="186"/>
    </row>
    <row r="69" spans="1:4">
      <c r="A69" s="21" t="s">
        <v>106</v>
      </c>
      <c r="B69" s="2" t="s">
        <v>107</v>
      </c>
      <c r="C69" s="22" t="s">
        <v>18</v>
      </c>
      <c r="D69" s="22" t="s">
        <v>19</v>
      </c>
    </row>
    <row r="70" spans="1:4">
      <c r="A70" s="21" t="s">
        <v>65</v>
      </c>
      <c r="B70" t="s">
        <v>66</v>
      </c>
      <c r="C70" s="22"/>
      <c r="D70" s="28">
        <f>D39</f>
        <v>256.66000000000003</v>
      </c>
    </row>
    <row r="71" spans="1:4">
      <c r="A71" s="21" t="s">
        <v>78</v>
      </c>
      <c r="B71" t="s">
        <v>79</v>
      </c>
      <c r="C71" s="22"/>
      <c r="D71" s="28">
        <f>D55</f>
        <v>580.16</v>
      </c>
    </row>
    <row r="72" spans="1:4">
      <c r="A72" s="21" t="s">
        <v>96</v>
      </c>
      <c r="B72" t="s">
        <v>97</v>
      </c>
      <c r="C72" s="22"/>
      <c r="D72" s="28">
        <f>D66</f>
        <v>433.01</v>
      </c>
    </row>
    <row r="73" spans="1:4">
      <c r="A73" s="21" t="s">
        <v>58</v>
      </c>
      <c r="C73" s="22"/>
      <c r="D73" s="28">
        <f>TRUNC((SUM(D70:D72)),2)</f>
        <v>1269.83</v>
      </c>
    </row>
    <row r="75" spans="1:4">
      <c r="A75" s="190" t="s">
        <v>108</v>
      </c>
      <c r="B75" s="183"/>
      <c r="C75" s="183"/>
      <c r="D75" s="183"/>
    </row>
    <row r="76" spans="1:4">
      <c r="A76" s="21" t="s">
        <v>109</v>
      </c>
      <c r="B76" s="2" t="s">
        <v>110</v>
      </c>
      <c r="C76" s="22" t="s">
        <v>38</v>
      </c>
      <c r="D76" s="22" t="s">
        <v>19</v>
      </c>
    </row>
    <row r="77" spans="1:4">
      <c r="A77" s="21" t="s">
        <v>42</v>
      </c>
      <c r="B77" t="s">
        <v>111</v>
      </c>
      <c r="C77" s="38">
        <f>((1/12)*2%)</f>
        <v>1.6666666666666666E-3</v>
      </c>
      <c r="D77" s="24">
        <f>TRUNC(($D$31*C77),2)</f>
        <v>2.2000000000000002</v>
      </c>
    </row>
    <row r="78" spans="1:4">
      <c r="A78" s="21" t="s">
        <v>45</v>
      </c>
      <c r="B78" t="s">
        <v>112</v>
      </c>
      <c r="C78" s="43">
        <v>0.08</v>
      </c>
      <c r="D78" s="28">
        <f>TRUNC(($D$77*C78),2)</f>
        <v>0.17</v>
      </c>
    </row>
    <row r="79" spans="1:4" ht="30">
      <c r="A79" s="21" t="s">
        <v>48</v>
      </c>
      <c r="B79" s="44" t="s">
        <v>113</v>
      </c>
      <c r="C79" s="45">
        <f>(0.08*0.4*0.02)</f>
        <v>6.4000000000000005E-4</v>
      </c>
      <c r="D79" s="41">
        <f t="shared" ref="D79:D80" si="1">TRUNC(($D$31*C79),2)</f>
        <v>0.84</v>
      </c>
    </row>
    <row r="80" spans="1:4">
      <c r="A80" s="21" t="s">
        <v>50</v>
      </c>
      <c r="B80" t="s">
        <v>114</v>
      </c>
      <c r="C80" s="43">
        <f>(((7/30)/12)*0.98)</f>
        <v>1.9055555555555555E-2</v>
      </c>
      <c r="D80" s="28">
        <f t="shared" si="1"/>
        <v>25.15</v>
      </c>
    </row>
    <row r="81" spans="1:4" ht="30">
      <c r="A81" s="21" t="s">
        <v>53</v>
      </c>
      <c r="B81" s="44" t="s">
        <v>210</v>
      </c>
      <c r="C81" s="45">
        <f>C55</f>
        <v>0.36800000000000005</v>
      </c>
      <c r="D81" s="41">
        <f>TRUNC(($D$80*C81),2)</f>
        <v>9.25</v>
      </c>
    </row>
    <row r="82" spans="1:4" ht="30">
      <c r="A82" s="21" t="s">
        <v>55</v>
      </c>
      <c r="B82" s="44" t="s">
        <v>115</v>
      </c>
      <c r="C82" s="45">
        <f>(0.08*0.4*0.98)</f>
        <v>3.1359999999999999E-2</v>
      </c>
      <c r="D82" s="41">
        <f>TRUNC(($D$31*C82),2)</f>
        <v>41.39</v>
      </c>
    </row>
    <row r="83" spans="1:4">
      <c r="A83" s="21" t="s">
        <v>58</v>
      </c>
      <c r="C83" s="43">
        <f>SUM(C77:C82)</f>
        <v>0.50072222222222229</v>
      </c>
      <c r="D83" s="28">
        <f>TRUNC((SUM(D77:D82)),2)</f>
        <v>79</v>
      </c>
    </row>
    <row r="84" spans="1:4" ht="15.75" thickBot="1">
      <c r="A84" s="21"/>
      <c r="D84" s="28"/>
    </row>
    <row r="85" spans="1:4" ht="16.5" thickTop="1" thickBot="1">
      <c r="A85" s="192" t="s">
        <v>211</v>
      </c>
      <c r="B85" s="192"/>
      <c r="C85" s="33" t="s">
        <v>202</v>
      </c>
      <c r="D85" s="34">
        <f>D31</f>
        <v>1320</v>
      </c>
    </row>
    <row r="86" spans="1:4" ht="16.5" thickTop="1" thickBot="1">
      <c r="A86" s="192"/>
      <c r="B86" s="192"/>
      <c r="C86" s="35" t="s">
        <v>212</v>
      </c>
      <c r="D86" s="34">
        <f>D73</f>
        <v>1269.83</v>
      </c>
    </row>
    <row r="87" spans="1:4" ht="16.5" thickTop="1" thickBot="1">
      <c r="A87" s="192"/>
      <c r="B87" s="192"/>
      <c r="C87" s="33" t="s">
        <v>213</v>
      </c>
      <c r="D87" s="34">
        <f>D83</f>
        <v>79</v>
      </c>
    </row>
    <row r="88" spans="1:4" ht="16.5" thickTop="1" thickBot="1">
      <c r="A88" s="192"/>
      <c r="B88" s="192"/>
      <c r="C88" s="35" t="s">
        <v>204</v>
      </c>
      <c r="D88" s="36">
        <f>TRUNC((SUM(D85:D87)),2)</f>
        <v>2668.83</v>
      </c>
    </row>
    <row r="89" spans="1:4" ht="15.75" thickTop="1">
      <c r="A89" s="21"/>
      <c r="D89" s="28"/>
    </row>
    <row r="90" spans="1:4">
      <c r="A90" s="198" t="s">
        <v>127</v>
      </c>
      <c r="B90" s="185"/>
      <c r="C90" s="185"/>
      <c r="D90" s="185"/>
    </row>
    <row r="91" spans="1:4">
      <c r="A91" s="184" t="s">
        <v>128</v>
      </c>
      <c r="B91" s="186"/>
      <c r="C91" s="186"/>
      <c r="D91" s="186"/>
    </row>
    <row r="92" spans="1:4">
      <c r="A92" s="21" t="s">
        <v>129</v>
      </c>
      <c r="B92" s="2" t="s">
        <v>130</v>
      </c>
      <c r="C92" s="22" t="s">
        <v>38</v>
      </c>
      <c r="D92" s="22" t="s">
        <v>19</v>
      </c>
    </row>
    <row r="93" spans="1:4">
      <c r="A93" s="21" t="s">
        <v>42</v>
      </c>
      <c r="B93" t="s">
        <v>132</v>
      </c>
      <c r="C93" s="43">
        <f>(((1+1/3)/12)/12)+((1/12)/12)</f>
        <v>1.6203703703703703E-2</v>
      </c>
      <c r="D93" s="28">
        <f>TRUNC(($D$88*C93),2)</f>
        <v>43.24</v>
      </c>
    </row>
    <row r="94" spans="1:4">
      <c r="A94" s="21" t="s">
        <v>45</v>
      </c>
      <c r="B94" t="s">
        <v>133</v>
      </c>
      <c r="C94" s="38">
        <f>((5/30)/12)</f>
        <v>1.3888888888888888E-2</v>
      </c>
      <c r="D94" s="41">
        <f>TRUNC(($D$88*C94),2)</f>
        <v>37.06</v>
      </c>
    </row>
    <row r="95" spans="1:4">
      <c r="A95" s="21" t="s">
        <v>48</v>
      </c>
      <c r="B95" t="s">
        <v>134</v>
      </c>
      <c r="C95" s="38">
        <f>((5/30)/12)*0.02</f>
        <v>2.7777777777777778E-4</v>
      </c>
      <c r="D95" s="41">
        <f t="shared" ref="D95:D97" si="2">TRUNC(($D$88*C95),2)</f>
        <v>0.74</v>
      </c>
    </row>
    <row r="96" spans="1:4" ht="30">
      <c r="A96" s="21" t="s">
        <v>50</v>
      </c>
      <c r="B96" s="44" t="s">
        <v>135</v>
      </c>
      <c r="C96" s="45">
        <f>((15/30)/12)*0.08</f>
        <v>3.3333333333333331E-3</v>
      </c>
      <c r="D96" s="41">
        <f t="shared" si="2"/>
        <v>8.89</v>
      </c>
    </row>
    <row r="97" spans="1:4">
      <c r="A97" s="21" t="s">
        <v>53</v>
      </c>
      <c r="B97" t="s">
        <v>136</v>
      </c>
      <c r="C97" s="38">
        <f>((1+1/3)/12)*0.00001*((4/12))</f>
        <v>3.7037037037037031E-7</v>
      </c>
      <c r="D97" s="41">
        <f t="shared" si="2"/>
        <v>0</v>
      </c>
    </row>
    <row r="98" spans="1:4">
      <c r="A98" s="21" t="s">
        <v>55</v>
      </c>
      <c r="B98" s="44" t="s">
        <v>214</v>
      </c>
      <c r="C98" s="46">
        <v>0</v>
      </c>
      <c r="D98" s="41">
        <f>TRUNC($D$88*C98)</f>
        <v>0</v>
      </c>
    </row>
    <row r="99" spans="1:4">
      <c r="A99" s="21" t="s">
        <v>58</v>
      </c>
      <c r="C99" s="43">
        <f>SUBTOTAL(109,Submódulo4.159_13724[Percentual])</f>
        <v>3.3704074074074074E-2</v>
      </c>
      <c r="D99" s="28">
        <f>TRUNC((SUM(D93:D98)),2)</f>
        <v>89.93</v>
      </c>
    </row>
    <row r="100" spans="1:4">
      <c r="A100" s="21"/>
      <c r="C100" s="22"/>
      <c r="D100" s="28"/>
    </row>
    <row r="101" spans="1:4">
      <c r="A101" s="184" t="s">
        <v>144</v>
      </c>
      <c r="B101" s="186"/>
      <c r="C101" s="186"/>
      <c r="D101" s="186"/>
    </row>
    <row r="102" spans="1:4">
      <c r="A102" s="21" t="s">
        <v>145</v>
      </c>
      <c r="B102" s="2" t="s">
        <v>146</v>
      </c>
      <c r="C102" s="22" t="s">
        <v>18</v>
      </c>
      <c r="D102" s="22" t="s">
        <v>19</v>
      </c>
    </row>
    <row r="103" spans="1:4" ht="105">
      <c r="A103" s="21" t="s">
        <v>42</v>
      </c>
      <c r="B103" s="47" t="s">
        <v>147</v>
      </c>
      <c r="C103" s="48" t="s">
        <v>215</v>
      </c>
      <c r="D103" s="49" t="s">
        <v>216</v>
      </c>
    </row>
    <row r="104" spans="1:4">
      <c r="A104" s="21" t="s">
        <v>58</v>
      </c>
      <c r="C104" s="50"/>
      <c r="D104" s="51" t="str">
        <f>D103</f>
        <v>*=TRUNCAR(($D$86/220)*(1*(365/12))/2)</v>
      </c>
    </row>
    <row r="106" spans="1:4">
      <c r="A106" s="184" t="s">
        <v>148</v>
      </c>
      <c r="B106" s="186"/>
      <c r="C106" s="186"/>
      <c r="D106" s="186"/>
    </row>
    <row r="107" spans="1:4">
      <c r="A107" s="21" t="s">
        <v>149</v>
      </c>
      <c r="B107" s="2" t="s">
        <v>150</v>
      </c>
      <c r="C107" s="22" t="s">
        <v>18</v>
      </c>
      <c r="D107" s="22" t="s">
        <v>19</v>
      </c>
    </row>
    <row r="108" spans="1:4">
      <c r="A108" s="21" t="s">
        <v>129</v>
      </c>
      <c r="B108" t="s">
        <v>130</v>
      </c>
      <c r="D108" s="24">
        <f>D99</f>
        <v>89.93</v>
      </c>
    </row>
    <row r="109" spans="1:4">
      <c r="A109" s="21" t="s">
        <v>145</v>
      </c>
      <c r="B109" t="s">
        <v>151</v>
      </c>
      <c r="C109" s="2"/>
      <c r="D109" s="52" t="str">
        <f>Submódulo4.260_13826[[#Totals],[Valor]]</f>
        <v>*=TRUNCAR(($D$86/220)*(1*(365/12))/2)</v>
      </c>
    </row>
    <row r="110" spans="1:4" ht="75">
      <c r="A110" s="21" t="s">
        <v>58</v>
      </c>
      <c r="B110" s="40"/>
      <c r="C110" s="48" t="s">
        <v>217</v>
      </c>
      <c r="D110" s="53">
        <f>TRUNC((SUM(D108:D109)),2)</f>
        <v>89.93</v>
      </c>
    </row>
    <row r="112" spans="1:4">
      <c r="A112" s="190" t="s">
        <v>152</v>
      </c>
      <c r="B112" s="183"/>
      <c r="C112" s="183"/>
      <c r="D112" s="183"/>
    </row>
    <row r="113" spans="1:11" ht="30.75" thickBot="1">
      <c r="A113" s="21" t="s">
        <v>153</v>
      </c>
      <c r="B113" s="21" t="s">
        <v>154</v>
      </c>
      <c r="C113" s="21" t="s">
        <v>18</v>
      </c>
      <c r="D113" s="21" t="s">
        <v>19</v>
      </c>
      <c r="H113" s="110" t="s">
        <v>218</v>
      </c>
      <c r="I113" s="55" t="s">
        <v>219</v>
      </c>
      <c r="J113" s="55" t="s">
        <v>220</v>
      </c>
      <c r="K113" s="55" t="s">
        <v>221</v>
      </c>
    </row>
    <row r="114" spans="1:11" ht="16.5" thickTop="1" thickBot="1">
      <c r="A114" s="21" t="s">
        <v>42</v>
      </c>
      <c r="B114" t="s">
        <v>222</v>
      </c>
      <c r="D114" s="56">
        <f>F114</f>
        <v>0</v>
      </c>
      <c r="F114" cm="1">
        <f t="array" ref="F114:G114">'Uniformes e EPI'!G122:H122</f>
        <v>0</v>
      </c>
      <c r="G114">
        <v>0</v>
      </c>
      <c r="H114" s="57" t="s">
        <v>223</v>
      </c>
      <c r="I114" s="58">
        <v>0</v>
      </c>
      <c r="J114" s="59">
        <v>70</v>
      </c>
      <c r="K114" s="59">
        <f>TRUNC(J114*I114,2)</f>
        <v>0</v>
      </c>
    </row>
    <row r="115" spans="1:11" ht="16.5" thickTop="1" thickBot="1">
      <c r="A115" s="21" t="s">
        <v>45</v>
      </c>
      <c r="B115" t="s">
        <v>224</v>
      </c>
      <c r="D115" s="56">
        <v>0</v>
      </c>
      <c r="H115" s="60" t="s">
        <v>225</v>
      </c>
      <c r="I115" s="61">
        <v>0</v>
      </c>
      <c r="J115" s="62">
        <v>35</v>
      </c>
      <c r="K115" s="59">
        <f>TRUNC(J115*I115,2)</f>
        <v>0</v>
      </c>
    </row>
    <row r="116" spans="1:11" ht="15.75" thickTop="1">
      <c r="A116" s="21" t="s">
        <v>48</v>
      </c>
      <c r="B116" t="s">
        <v>156</v>
      </c>
      <c r="D116" s="56">
        <v>0</v>
      </c>
      <c r="H116" s="194" t="s">
        <v>204</v>
      </c>
      <c r="I116" s="195"/>
      <c r="J116" s="196">
        <f>TRUNC(SUM(K114:K115),2)</f>
        <v>0</v>
      </c>
      <c r="K116" s="197"/>
    </row>
    <row r="117" spans="1:11">
      <c r="A117" s="21" t="s">
        <v>50</v>
      </c>
      <c r="B117" t="s">
        <v>157</v>
      </c>
      <c r="D117" s="56">
        <v>0</v>
      </c>
      <c r="H117" s="194" t="s">
        <v>226</v>
      </c>
      <c r="I117" s="195"/>
      <c r="J117" s="196">
        <f>TRUNC(J116/12,2)</f>
        <v>0</v>
      </c>
      <c r="K117" s="197"/>
    </row>
    <row r="118" spans="1:11">
      <c r="A118" s="21" t="s">
        <v>53</v>
      </c>
      <c r="B118" t="s">
        <v>227</v>
      </c>
      <c r="D118" s="56">
        <f>J117</f>
        <v>0</v>
      </c>
      <c r="H118" s="193" t="s">
        <v>228</v>
      </c>
      <c r="I118" s="193"/>
      <c r="J118" s="193"/>
      <c r="K118" s="193"/>
    </row>
    <row r="119" spans="1:11">
      <c r="A119" s="21" t="s">
        <v>58</v>
      </c>
      <c r="D119" s="63">
        <f>TRUNC(SUM(D114:D118),2)</f>
        <v>0</v>
      </c>
      <c r="H119" s="193"/>
      <c r="I119" s="193"/>
      <c r="J119" s="193"/>
      <c r="K119" s="193"/>
    </row>
    <row r="121" spans="1:11" ht="16.5" thickTop="1" thickBot="1">
      <c r="A121" s="192" t="s">
        <v>229</v>
      </c>
      <c r="B121" s="192"/>
      <c r="C121" s="33" t="s">
        <v>202</v>
      </c>
      <c r="D121" s="34">
        <f>D31</f>
        <v>1320</v>
      </c>
    </row>
    <row r="122" spans="1:11" ht="16.5" thickTop="1" thickBot="1">
      <c r="A122" s="192"/>
      <c r="B122" s="192"/>
      <c r="C122" s="35" t="s">
        <v>212</v>
      </c>
      <c r="D122" s="34">
        <f>D73</f>
        <v>1269.83</v>
      </c>
    </row>
    <row r="123" spans="1:11" ht="16.5" thickTop="1" thickBot="1">
      <c r="A123" s="192"/>
      <c r="B123" s="192"/>
      <c r="C123" s="33" t="s">
        <v>213</v>
      </c>
      <c r="D123" s="34">
        <f>D83</f>
        <v>79</v>
      </c>
    </row>
    <row r="124" spans="1:11" ht="16.5" thickTop="1" thickBot="1">
      <c r="A124" s="192"/>
      <c r="B124" s="192"/>
      <c r="C124" s="35" t="s">
        <v>230</v>
      </c>
      <c r="D124" s="34">
        <f>D110</f>
        <v>89.93</v>
      </c>
    </row>
    <row r="125" spans="1:11" ht="16.5" thickTop="1" thickBot="1">
      <c r="A125" s="192"/>
      <c r="B125" s="192"/>
      <c r="C125" s="33" t="s">
        <v>231</v>
      </c>
      <c r="D125" s="34">
        <f>D119</f>
        <v>0</v>
      </c>
    </row>
    <row r="126" spans="1:11" ht="16.5" thickTop="1" thickBot="1">
      <c r="A126" s="192"/>
      <c r="B126" s="192"/>
      <c r="C126" s="35" t="s">
        <v>204</v>
      </c>
      <c r="D126" s="36">
        <f>TRUNC((SUM(D121:D125)),2)</f>
        <v>2758.76</v>
      </c>
    </row>
    <row r="128" spans="1:11">
      <c r="A128" s="190" t="s">
        <v>164</v>
      </c>
      <c r="B128" s="183"/>
      <c r="C128" s="183"/>
      <c r="D128" s="183"/>
    </row>
    <row r="129" spans="1:9" ht="15.75" thickBot="1">
      <c r="A129" s="21" t="s">
        <v>165</v>
      </c>
      <c r="B129" t="s">
        <v>166</v>
      </c>
      <c r="C129" s="22" t="s">
        <v>38</v>
      </c>
      <c r="D129" s="22" t="s">
        <v>19</v>
      </c>
      <c r="H129" s="191" t="s">
        <v>232</v>
      </c>
      <c r="I129" s="191"/>
    </row>
    <row r="130" spans="1:9" ht="15.75" thickTop="1">
      <c r="A130" s="21" t="s">
        <v>42</v>
      </c>
      <c r="B130" t="s">
        <v>167</v>
      </c>
      <c r="C130" s="38">
        <v>0</v>
      </c>
      <c r="D130" s="24">
        <f>TRUNC(($D$126*C130),2)</f>
        <v>0</v>
      </c>
      <c r="H130" s="57" t="s">
        <v>233</v>
      </c>
      <c r="I130" s="45">
        <f>C132</f>
        <v>8.6499999999999994E-2</v>
      </c>
    </row>
    <row r="131" spans="1:9" ht="15.75" thickBot="1">
      <c r="A131" s="21" t="s">
        <v>45</v>
      </c>
      <c r="B131" t="s">
        <v>59</v>
      </c>
      <c r="C131" s="38">
        <v>0</v>
      </c>
      <c r="D131" s="24">
        <f>TRUNC((C131*(D126+D130)),2)</f>
        <v>0</v>
      </c>
      <c r="H131" s="64" t="s">
        <v>234</v>
      </c>
      <c r="I131" s="65">
        <f>TRUNC(SUM(D126,D130,D131),2)</f>
        <v>2758.76</v>
      </c>
    </row>
    <row r="132" spans="1:9" ht="15.75" thickTop="1">
      <c r="A132" s="21" t="s">
        <v>48</v>
      </c>
      <c r="B132" t="s">
        <v>168</v>
      </c>
      <c r="C132" s="38">
        <f>SUM(C133:C135)</f>
        <v>8.6499999999999994E-2</v>
      </c>
      <c r="D132" s="24">
        <f>TRUNC((SUM(D133:D135)),2)</f>
        <v>261.2</v>
      </c>
      <c r="H132" s="57" t="s">
        <v>235</v>
      </c>
      <c r="I132" s="66">
        <f>(100-8.65)/100</f>
        <v>0.91349999999999998</v>
      </c>
    </row>
    <row r="133" spans="1:9" ht="15.75" thickBot="1">
      <c r="A133" s="21"/>
      <c r="B133" t="s">
        <v>236</v>
      </c>
      <c r="C133" s="38">
        <v>6.4999999999999997E-3</v>
      </c>
      <c r="D133" s="24">
        <f t="shared" ref="D133:D135" si="3">TRUNC(($I$133*C133),2)</f>
        <v>19.62</v>
      </c>
      <c r="H133" s="64" t="s">
        <v>232</v>
      </c>
      <c r="I133" s="65">
        <f>TRUNC((I131/I132),2)</f>
        <v>3019.98</v>
      </c>
    </row>
    <row r="134" spans="1:9" ht="15.75" thickTop="1">
      <c r="A134" s="21"/>
      <c r="B134" t="s">
        <v>237</v>
      </c>
      <c r="C134" s="38">
        <v>0.03</v>
      </c>
      <c r="D134" s="24">
        <f t="shared" si="3"/>
        <v>90.59</v>
      </c>
    </row>
    <row r="135" spans="1:9">
      <c r="A135" s="21"/>
      <c r="B135" t="s">
        <v>238</v>
      </c>
      <c r="C135" s="38">
        <v>0.05</v>
      </c>
      <c r="D135" s="24">
        <f t="shared" si="3"/>
        <v>150.99</v>
      </c>
    </row>
    <row r="136" spans="1:9">
      <c r="A136" s="21" t="s">
        <v>58</v>
      </c>
      <c r="C136" s="67"/>
      <c r="D136" s="28">
        <f>TRUNC(SUM(D130:D132),2)</f>
        <v>261.2</v>
      </c>
    </row>
    <row r="137" spans="1:9">
      <c r="A137" s="21"/>
      <c r="C137" s="67"/>
      <c r="D137" s="28"/>
    </row>
    <row r="139" spans="1:9">
      <c r="A139" s="190" t="s">
        <v>172</v>
      </c>
      <c r="B139" s="183"/>
      <c r="C139" s="183"/>
      <c r="D139" s="183"/>
    </row>
    <row r="140" spans="1:9">
      <c r="A140" s="21" t="s">
        <v>16</v>
      </c>
      <c r="B140" s="22" t="s">
        <v>173</v>
      </c>
      <c r="C140" s="22" t="s">
        <v>102</v>
      </c>
      <c r="D140" s="22" t="s">
        <v>19</v>
      </c>
    </row>
    <row r="141" spans="1:9">
      <c r="A141" s="21" t="s">
        <v>42</v>
      </c>
      <c r="B141" t="s">
        <v>36</v>
      </c>
      <c r="D141" s="28">
        <f>D31</f>
        <v>1320</v>
      </c>
    </row>
    <row r="142" spans="1:9">
      <c r="A142" s="21" t="s">
        <v>45</v>
      </c>
      <c r="B142" t="s">
        <v>61</v>
      </c>
      <c r="D142" s="28">
        <f>D73</f>
        <v>1269.83</v>
      </c>
    </row>
    <row r="143" spans="1:9">
      <c r="A143" s="21" t="s">
        <v>48</v>
      </c>
      <c r="B143" t="s">
        <v>108</v>
      </c>
      <c r="D143" s="28">
        <f>D83</f>
        <v>79</v>
      </c>
    </row>
    <row r="144" spans="1:9">
      <c r="A144" s="21" t="s">
        <v>50</v>
      </c>
      <c r="B144" t="s">
        <v>174</v>
      </c>
      <c r="D144" s="28">
        <f>D110</f>
        <v>89.93</v>
      </c>
    </row>
    <row r="145" spans="1:4">
      <c r="A145" s="21" t="s">
        <v>53</v>
      </c>
      <c r="B145" t="s">
        <v>152</v>
      </c>
      <c r="D145" s="28">
        <f>D119</f>
        <v>0</v>
      </c>
    </row>
    <row r="146" spans="1:4">
      <c r="B146" s="68" t="s">
        <v>175</v>
      </c>
      <c r="D146" s="28">
        <f>TRUNC(SUM(D141:D145),2)</f>
        <v>2758.76</v>
      </c>
    </row>
    <row r="147" spans="1:4">
      <c r="A147" s="21" t="s">
        <v>55</v>
      </c>
      <c r="B147" t="s">
        <v>164</v>
      </c>
      <c r="D147" s="28">
        <f>D136</f>
        <v>261.2</v>
      </c>
    </row>
    <row r="148" spans="1:4">
      <c r="A148" s="69"/>
      <c r="B148" s="70" t="s">
        <v>240</v>
      </c>
      <c r="C148" s="71"/>
      <c r="D148" s="72">
        <f>TRUNC((SUM(D141:D145)+D147),2)</f>
        <v>3019.96</v>
      </c>
    </row>
  </sheetData>
  <mergeCells count="38">
    <mergeCell ref="H129:I129"/>
    <mergeCell ref="A139:D139"/>
    <mergeCell ref="J116:K116"/>
    <mergeCell ref="H117:I117"/>
    <mergeCell ref="J117:K117"/>
    <mergeCell ref="H118:K119"/>
    <mergeCell ref="A121:B126"/>
    <mergeCell ref="A128:D128"/>
    <mergeCell ref="H116:I116"/>
    <mergeCell ref="A90:D90"/>
    <mergeCell ref="A91:D91"/>
    <mergeCell ref="A101:D101"/>
    <mergeCell ref="A106:D106"/>
    <mergeCell ref="A112:D112"/>
    <mergeCell ref="A85:B88"/>
    <mergeCell ref="H15:I15"/>
    <mergeCell ref="H22:I22"/>
    <mergeCell ref="A23:D23"/>
    <mergeCell ref="H31:I31"/>
    <mergeCell ref="A33:D33"/>
    <mergeCell ref="A35:D35"/>
    <mergeCell ref="A15:D15"/>
    <mergeCell ref="A41:B43"/>
    <mergeCell ref="A45:D45"/>
    <mergeCell ref="A57:D57"/>
    <mergeCell ref="A68:D68"/>
    <mergeCell ref="A75:D75"/>
    <mergeCell ref="C10:D10"/>
    <mergeCell ref="A11:D11"/>
    <mergeCell ref="A12:B12"/>
    <mergeCell ref="A13:B13"/>
    <mergeCell ref="A14:B14"/>
    <mergeCell ref="C9:D9"/>
    <mergeCell ref="A2:D2"/>
    <mergeCell ref="A3:D3"/>
    <mergeCell ref="A6:D6"/>
    <mergeCell ref="C7:D7"/>
    <mergeCell ref="C8:D8"/>
  </mergeCells>
  <pageMargins left="0.25" right="0.25" top="0.75" bottom="0.75" header="0.3" footer="0.3"/>
  <pageSetup paperSize="9" scale="50" fitToHeight="0" orientation="portrait"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A3D38-222D-47DC-9FF5-9C5198A281D4}">
  <sheetPr>
    <pageSetUpPr fitToPage="1"/>
  </sheetPr>
  <dimension ref="A2:K148"/>
  <sheetViews>
    <sheetView workbookViewId="0">
      <selection activeCell="H14" sqref="H14"/>
    </sheetView>
  </sheetViews>
  <sheetFormatPr defaultColWidth="9.140625" defaultRowHeight="15"/>
  <cols>
    <col min="1" max="1" width="10.5703125" style="4" customWidth="1"/>
    <col min="2" max="2" width="54.28515625" customWidth="1"/>
    <col min="3" max="3" width="23.85546875" customWidth="1"/>
    <col min="4" max="4" width="41" customWidth="1"/>
    <col min="6" max="7" width="0" hidden="1" customWidth="1"/>
    <col min="8" max="8" width="22.85546875" customWidth="1"/>
    <col min="9" max="9" width="13.28515625" customWidth="1"/>
    <col min="10" max="10" width="12" customWidth="1"/>
    <col min="11" max="11" width="12.28515625" customWidth="1"/>
  </cols>
  <sheetData>
    <row r="2" spans="1:9" ht="19.5" thickBot="1">
      <c r="A2" s="208" t="s">
        <v>177</v>
      </c>
      <c r="B2" s="209"/>
      <c r="C2" s="209"/>
      <c r="D2" s="209"/>
    </row>
    <row r="3" spans="1:9" ht="15.75" thickTop="1">
      <c r="A3" s="214" t="str">
        <f>Pedreiro!A3</f>
        <v>Processo Administrativo n.° 23324.000132.2023-89</v>
      </c>
      <c r="B3" s="215"/>
      <c r="C3" s="215"/>
      <c r="D3" s="215"/>
    </row>
    <row r="4" spans="1:9" ht="21" customHeight="1">
      <c r="A4" s="5" t="s">
        <v>178</v>
      </c>
      <c r="B4" s="111" t="s">
        <v>419</v>
      </c>
      <c r="C4" s="7"/>
      <c r="D4" s="7"/>
    </row>
    <row r="5" spans="1:9">
      <c r="A5" s="8"/>
      <c r="B5" s="9"/>
      <c r="C5" s="9"/>
      <c r="D5" s="9"/>
    </row>
    <row r="6" spans="1:9" ht="15.75" thickBot="1">
      <c r="A6" s="190" t="s">
        <v>179</v>
      </c>
      <c r="B6" s="183"/>
      <c r="C6" s="183"/>
      <c r="D6" s="183"/>
    </row>
    <row r="7" spans="1:9" ht="15.75" thickTop="1">
      <c r="A7" s="10" t="s">
        <v>42</v>
      </c>
      <c r="B7" s="11" t="s">
        <v>180</v>
      </c>
      <c r="C7" s="212" t="s">
        <v>302</v>
      </c>
      <c r="D7" s="213"/>
    </row>
    <row r="8" spans="1:9">
      <c r="A8" s="12" t="s">
        <v>45</v>
      </c>
      <c r="B8" s="13" t="s">
        <v>181</v>
      </c>
      <c r="C8" s="203" t="s">
        <v>182</v>
      </c>
      <c r="D8" s="203"/>
    </row>
    <row r="9" spans="1:9">
      <c r="A9" s="15" t="s">
        <v>48</v>
      </c>
      <c r="B9" s="16" t="s">
        <v>183</v>
      </c>
      <c r="C9" s="203" t="s">
        <v>184</v>
      </c>
      <c r="D9" s="203"/>
    </row>
    <row r="10" spans="1:9">
      <c r="A10" s="12" t="s">
        <v>53</v>
      </c>
      <c r="B10" s="13" t="s">
        <v>185</v>
      </c>
      <c r="C10" s="203" t="s">
        <v>186</v>
      </c>
      <c r="D10" s="203"/>
    </row>
    <row r="11" spans="1:9" ht="15.75" thickBot="1">
      <c r="A11" s="201" t="s">
        <v>187</v>
      </c>
      <c r="B11" s="202"/>
      <c r="C11" s="202"/>
      <c r="D11" s="202"/>
    </row>
    <row r="12" spans="1:9" ht="16.5" thickTop="1" thickBot="1">
      <c r="A12" s="204" t="s">
        <v>188</v>
      </c>
      <c r="B12" s="205"/>
      <c r="C12" s="109" t="s">
        <v>189</v>
      </c>
      <c r="D12" s="18" t="s">
        <v>190</v>
      </c>
    </row>
    <row r="13" spans="1:9" ht="15.75" thickTop="1">
      <c r="A13" s="206" t="s">
        <v>312</v>
      </c>
      <c r="B13" s="207"/>
      <c r="C13" s="108" t="s">
        <v>192</v>
      </c>
      <c r="D13" s="19">
        <v>1</v>
      </c>
    </row>
    <row r="14" spans="1:9">
      <c r="A14" s="199"/>
      <c r="B14" s="200"/>
      <c r="C14" s="108"/>
      <c r="D14" s="20"/>
    </row>
    <row r="15" spans="1:9" ht="15.75" thickBot="1">
      <c r="A15" s="201" t="s">
        <v>14</v>
      </c>
      <c r="B15" s="202"/>
      <c r="C15" s="202"/>
      <c r="D15" s="202"/>
      <c r="H15" s="186"/>
      <c r="I15" s="186"/>
    </row>
    <row r="16" spans="1:9" ht="15.75" thickTop="1">
      <c r="A16" s="21" t="s">
        <v>16</v>
      </c>
      <c r="B16" t="s">
        <v>17</v>
      </c>
      <c r="C16" s="22" t="s">
        <v>18</v>
      </c>
      <c r="D16" s="22" t="s">
        <v>19</v>
      </c>
    </row>
    <row r="17" spans="1:9">
      <c r="A17" s="21">
        <v>1</v>
      </c>
      <c r="B17" t="s">
        <v>20</v>
      </c>
      <c r="C17" s="23" t="s">
        <v>102</v>
      </c>
      <c r="D17" s="23" t="str">
        <f>A13</f>
        <v>Recepcionista Secretária</v>
      </c>
    </row>
    <row r="18" spans="1:9">
      <c r="A18" s="21">
        <v>2</v>
      </c>
      <c r="B18" t="s">
        <v>23</v>
      </c>
      <c r="C18" s="23" t="s">
        <v>193</v>
      </c>
      <c r="D18" s="23" t="s">
        <v>313</v>
      </c>
    </row>
    <row r="19" spans="1:9">
      <c r="A19" s="21">
        <v>3</v>
      </c>
      <c r="B19" t="s">
        <v>26</v>
      </c>
      <c r="C19" s="23" t="str">
        <f>C9</f>
        <v>CCT PB000517/2021</v>
      </c>
      <c r="D19" s="24">
        <v>1320</v>
      </c>
    </row>
    <row r="20" spans="1:9">
      <c r="A20" s="21">
        <v>4</v>
      </c>
      <c r="B20" t="s">
        <v>29</v>
      </c>
      <c r="C20" s="23" t="str">
        <f>C9</f>
        <v>CCT PB000517/2021</v>
      </c>
      <c r="D20" s="25" t="s">
        <v>195</v>
      </c>
    </row>
    <row r="21" spans="1:9">
      <c r="A21" s="21">
        <v>5</v>
      </c>
      <c r="B21" t="s">
        <v>33</v>
      </c>
      <c r="C21" s="23" t="str">
        <f>C9</f>
        <v>CCT PB000517/2021</v>
      </c>
      <c r="D21" s="26" t="s">
        <v>196</v>
      </c>
    </row>
    <row r="22" spans="1:9">
      <c r="H22" s="186"/>
      <c r="I22" s="186"/>
    </row>
    <row r="23" spans="1:9">
      <c r="A23" s="190" t="s">
        <v>36</v>
      </c>
      <c r="B23" s="183"/>
      <c r="C23" s="183"/>
      <c r="D23" s="183"/>
    </row>
    <row r="24" spans="1:9">
      <c r="A24" s="21" t="s">
        <v>39</v>
      </c>
      <c r="B24" s="2" t="s">
        <v>40</v>
      </c>
      <c r="C24" s="22" t="s">
        <v>18</v>
      </c>
      <c r="D24" s="22" t="s">
        <v>19</v>
      </c>
      <c r="I24" s="27"/>
    </row>
    <row r="25" spans="1:9">
      <c r="A25" s="21" t="s">
        <v>42</v>
      </c>
      <c r="B25" t="s">
        <v>43</v>
      </c>
      <c r="C25" s="25" t="s">
        <v>249</v>
      </c>
      <c r="D25" s="24">
        <f>D19</f>
        <v>1320</v>
      </c>
      <c r="I25" s="27"/>
    </row>
    <row r="26" spans="1:9">
      <c r="A26" s="21" t="s">
        <v>45</v>
      </c>
      <c r="B26" t="s">
        <v>198</v>
      </c>
      <c r="C26" s="25"/>
      <c r="D26" s="24">
        <v>0</v>
      </c>
      <c r="I26" s="27"/>
    </row>
    <row r="27" spans="1:9">
      <c r="A27" s="21" t="s">
        <v>48</v>
      </c>
      <c r="B27" t="s">
        <v>199</v>
      </c>
      <c r="C27" s="25"/>
      <c r="D27" s="24">
        <v>0</v>
      </c>
    </row>
    <row r="28" spans="1:9">
      <c r="A28" s="21" t="s">
        <v>50</v>
      </c>
      <c r="B28" t="s">
        <v>51</v>
      </c>
      <c r="C28" s="25"/>
      <c r="D28" s="24">
        <v>0</v>
      </c>
    </row>
    <row r="29" spans="1:9">
      <c r="A29" s="21" t="s">
        <v>53</v>
      </c>
      <c r="B29" t="s">
        <v>54</v>
      </c>
      <c r="C29" s="25"/>
      <c r="D29" s="24">
        <v>0</v>
      </c>
    </row>
    <row r="30" spans="1:9">
      <c r="A30" s="21" t="s">
        <v>55</v>
      </c>
      <c r="B30" t="s">
        <v>56</v>
      </c>
      <c r="C30" s="25"/>
      <c r="D30" s="24">
        <v>0</v>
      </c>
    </row>
    <row r="31" spans="1:9">
      <c r="A31" s="21" t="s">
        <v>58</v>
      </c>
      <c r="C31" s="22"/>
      <c r="D31" s="28">
        <f>TRUNC((SUM(D25:D30)),2)</f>
        <v>1320</v>
      </c>
      <c r="H31" s="186"/>
      <c r="I31" s="186"/>
    </row>
    <row r="32" spans="1:9">
      <c r="B32" s="29" t="s">
        <v>200</v>
      </c>
    </row>
    <row r="33" spans="1:9">
      <c r="A33" s="192" t="s">
        <v>61</v>
      </c>
      <c r="B33" s="187"/>
      <c r="C33" s="187"/>
      <c r="D33" s="187"/>
      <c r="I33" s="27"/>
    </row>
    <row r="35" spans="1:9">
      <c r="A35" s="184" t="s">
        <v>63</v>
      </c>
      <c r="B35" s="186"/>
      <c r="C35" s="186"/>
      <c r="D35" s="186"/>
    </row>
    <row r="36" spans="1:9">
      <c r="A36" s="21" t="s">
        <v>65</v>
      </c>
      <c r="B36" s="2" t="s">
        <v>66</v>
      </c>
      <c r="C36" s="22" t="s">
        <v>38</v>
      </c>
      <c r="D36" s="22" t="s">
        <v>19</v>
      </c>
    </row>
    <row r="37" spans="1:9">
      <c r="A37" s="21" t="s">
        <v>42</v>
      </c>
      <c r="B37" t="s">
        <v>67</v>
      </c>
      <c r="C37" s="31">
        <f>(1/12)</f>
        <v>8.3333333333333329E-2</v>
      </c>
      <c r="D37" s="28">
        <f>TRUNC($D$31*C37,2)</f>
        <v>110</v>
      </c>
      <c r="H37" s="32"/>
      <c r="I37" s="32"/>
    </row>
    <row r="38" spans="1:9">
      <c r="A38" s="21" t="s">
        <v>45</v>
      </c>
      <c r="B38" t="s">
        <v>68</v>
      </c>
      <c r="C38" s="31">
        <f>(((1+1/3)/12))</f>
        <v>0.1111111111111111</v>
      </c>
      <c r="D38" s="28">
        <f>TRUNC($D$31*C38,2)</f>
        <v>146.66</v>
      </c>
      <c r="H38" s="32"/>
      <c r="I38" s="32"/>
    </row>
    <row r="39" spans="1:9">
      <c r="A39" s="21" t="s">
        <v>58</v>
      </c>
      <c r="D39" s="28">
        <f>TRUNC((SUM(D37:D38)),2)</f>
        <v>256.66000000000003</v>
      </c>
      <c r="H39" s="32"/>
      <c r="I39" s="32"/>
    </row>
    <row r="40" spans="1:9" ht="15.75" thickBot="1">
      <c r="D40" s="28"/>
      <c r="H40" s="32"/>
      <c r="I40" s="32"/>
    </row>
    <row r="41" spans="1:9" ht="16.5" thickTop="1" thickBot="1">
      <c r="A41" s="192" t="s">
        <v>201</v>
      </c>
      <c r="B41" s="192"/>
      <c r="C41" s="33" t="s">
        <v>202</v>
      </c>
      <c r="D41" s="34">
        <f>D31</f>
        <v>1320</v>
      </c>
      <c r="H41" s="32"/>
      <c r="I41" s="32"/>
    </row>
    <row r="42" spans="1:9" ht="16.5" thickTop="1" thickBot="1">
      <c r="A42" s="192"/>
      <c r="B42" s="192"/>
      <c r="C42" s="35" t="s">
        <v>203</v>
      </c>
      <c r="D42" s="34">
        <f>D39</f>
        <v>256.66000000000003</v>
      </c>
      <c r="H42" s="32"/>
      <c r="I42" s="32"/>
    </row>
    <row r="43" spans="1:9" ht="16.5" thickTop="1" thickBot="1">
      <c r="A43" s="192"/>
      <c r="B43" s="192"/>
      <c r="C43" s="33" t="s">
        <v>204</v>
      </c>
      <c r="D43" s="36">
        <f>TRUNC((SUM(D41:D42)),2)</f>
        <v>1576.66</v>
      </c>
      <c r="H43" s="32"/>
      <c r="I43" s="32"/>
    </row>
    <row r="44" spans="1:9" ht="15.75" thickTop="1">
      <c r="A44" s="21"/>
      <c r="C44" s="37"/>
      <c r="D44" s="28"/>
      <c r="H44" s="32"/>
      <c r="I44" s="32"/>
    </row>
    <row r="45" spans="1:9">
      <c r="A45" s="184" t="s">
        <v>77</v>
      </c>
      <c r="B45" s="186"/>
      <c r="C45" s="186"/>
      <c r="D45" s="186"/>
    </row>
    <row r="46" spans="1:9">
      <c r="A46" s="21" t="s">
        <v>78</v>
      </c>
      <c r="B46" s="2" t="s">
        <v>79</v>
      </c>
      <c r="C46" s="22" t="s">
        <v>38</v>
      </c>
      <c r="D46" s="22" t="s">
        <v>80</v>
      </c>
    </row>
    <row r="47" spans="1:9">
      <c r="A47" s="21" t="s">
        <v>42</v>
      </c>
      <c r="B47" t="s">
        <v>81</v>
      </c>
      <c r="C47" s="31">
        <v>0.2</v>
      </c>
      <c r="D47" s="28">
        <f t="shared" ref="D47:D54" si="0">TRUNC(($D$43*C47),2)</f>
        <v>315.33</v>
      </c>
    </row>
    <row r="48" spans="1:9">
      <c r="A48" s="21" t="s">
        <v>45</v>
      </c>
      <c r="B48" t="s">
        <v>82</v>
      </c>
      <c r="C48" s="31">
        <v>2.5000000000000001E-2</v>
      </c>
      <c r="D48" s="28">
        <f t="shared" si="0"/>
        <v>39.409999999999997</v>
      </c>
    </row>
    <row r="49" spans="1:8">
      <c r="A49" s="21" t="s">
        <v>48</v>
      </c>
      <c r="B49" t="s">
        <v>205</v>
      </c>
      <c r="C49" s="38">
        <v>0.03</v>
      </c>
      <c r="D49" s="24">
        <f t="shared" si="0"/>
        <v>47.29</v>
      </c>
    </row>
    <row r="50" spans="1:8">
      <c r="A50" s="21" t="s">
        <v>50</v>
      </c>
      <c r="B50" t="s">
        <v>84</v>
      </c>
      <c r="C50" s="31">
        <v>1.4999999999999999E-2</v>
      </c>
      <c r="D50" s="28">
        <f t="shared" si="0"/>
        <v>23.64</v>
      </c>
    </row>
    <row r="51" spans="1:8">
      <c r="A51" s="21" t="s">
        <v>53</v>
      </c>
      <c r="B51" t="s">
        <v>85</v>
      </c>
      <c r="C51" s="31">
        <v>0.01</v>
      </c>
      <c r="D51" s="28">
        <f t="shared" si="0"/>
        <v>15.76</v>
      </c>
    </row>
    <row r="52" spans="1:8">
      <c r="A52" s="21" t="s">
        <v>55</v>
      </c>
      <c r="B52" t="s">
        <v>86</v>
      </c>
      <c r="C52" s="31">
        <v>6.0000000000000001E-3</v>
      </c>
      <c r="D52" s="28">
        <f t="shared" si="0"/>
        <v>9.4499999999999993</v>
      </c>
    </row>
    <row r="53" spans="1:8">
      <c r="A53" s="21" t="s">
        <v>87</v>
      </c>
      <c r="B53" t="s">
        <v>88</v>
      </c>
      <c r="C53" s="31">
        <v>2E-3</v>
      </c>
      <c r="D53" s="28">
        <f t="shared" si="0"/>
        <v>3.15</v>
      </c>
    </row>
    <row r="54" spans="1:8">
      <c r="A54" s="21" t="s">
        <v>89</v>
      </c>
      <c r="B54" t="s">
        <v>90</v>
      </c>
      <c r="C54" s="31">
        <v>0.08</v>
      </c>
      <c r="D54" s="28">
        <f t="shared" si="0"/>
        <v>126.13</v>
      </c>
    </row>
    <row r="55" spans="1:8">
      <c r="A55" s="21" t="s">
        <v>58</v>
      </c>
      <c r="C55" s="37">
        <f>SUM(C47:C54)</f>
        <v>0.36800000000000005</v>
      </c>
      <c r="D55" s="28">
        <f>TRUNC((SUM(D47:D54)),2)</f>
        <v>580.16</v>
      </c>
    </row>
    <row r="56" spans="1:8">
      <c r="A56" s="21"/>
      <c r="C56" s="37"/>
      <c r="D56" s="28"/>
    </row>
    <row r="57" spans="1:8">
      <c r="A57" s="184" t="s">
        <v>95</v>
      </c>
      <c r="B57" s="186"/>
      <c r="C57" s="186"/>
      <c r="D57" s="186"/>
    </row>
    <row r="58" spans="1:8">
      <c r="A58" s="21" t="s">
        <v>96</v>
      </c>
      <c r="B58" s="2" t="s">
        <v>97</v>
      </c>
      <c r="C58" s="22" t="s">
        <v>18</v>
      </c>
      <c r="D58" s="22" t="s">
        <v>19</v>
      </c>
    </row>
    <row r="59" spans="1:8">
      <c r="A59" s="21" t="s">
        <v>42</v>
      </c>
      <c r="B59" t="s">
        <v>98</v>
      </c>
      <c r="C59" s="23"/>
      <c r="D59" s="39">
        <v>0</v>
      </c>
    </row>
    <row r="60" spans="1:8">
      <c r="A60" s="21" t="s">
        <v>45</v>
      </c>
      <c r="B60" t="s">
        <v>99</v>
      </c>
      <c r="C60" s="23" t="str">
        <f>C9</f>
        <v>CCT PB000517/2021</v>
      </c>
      <c r="D60" s="24">
        <f>TRUNC((((22*20.91))-(((22*20.91))*0.2)),2)</f>
        <v>368.01</v>
      </c>
    </row>
    <row r="61" spans="1:8">
      <c r="A61" s="21" t="s">
        <v>48</v>
      </c>
      <c r="B61" t="s">
        <v>100</v>
      </c>
      <c r="C61" s="23"/>
      <c r="D61" s="24">
        <v>0</v>
      </c>
    </row>
    <row r="62" spans="1:8">
      <c r="A62" s="21" t="s">
        <v>50</v>
      </c>
      <c r="B62" s="40" t="s">
        <v>206</v>
      </c>
      <c r="C62" s="41"/>
      <c r="D62" s="41">
        <v>0</v>
      </c>
      <c r="H62" s="40"/>
    </row>
    <row r="63" spans="1:8">
      <c r="A63" s="21" t="s">
        <v>53</v>
      </c>
      <c r="B63" s="2" t="s">
        <v>207</v>
      </c>
      <c r="C63" s="23" t="str">
        <f>C60</f>
        <v>CCT PB000517/2021</v>
      </c>
      <c r="D63" s="24">
        <v>20</v>
      </c>
    </row>
    <row r="64" spans="1:8">
      <c r="A64" s="21" t="s">
        <v>55</v>
      </c>
      <c r="B64" s="42" t="s">
        <v>208</v>
      </c>
      <c r="C64" s="23" t="str">
        <f>C9</f>
        <v>CCT PB000517/2021</v>
      </c>
      <c r="D64" s="24">
        <v>5</v>
      </c>
    </row>
    <row r="65" spans="1:4">
      <c r="A65" s="21" t="s">
        <v>87</v>
      </c>
      <c r="B65" s="42" t="s">
        <v>209</v>
      </c>
      <c r="C65" s="41" t="str">
        <f>C60</f>
        <v>CCT PB000517/2021</v>
      </c>
      <c r="D65" s="24">
        <v>40</v>
      </c>
    </row>
    <row r="66" spans="1:4">
      <c r="A66" s="21" t="s">
        <v>58</v>
      </c>
      <c r="D66" s="28">
        <f>TRUNC((SUM(D59:D65)),2)</f>
        <v>433.01</v>
      </c>
    </row>
    <row r="67" spans="1:4">
      <c r="A67" s="21"/>
      <c r="D67" s="28"/>
    </row>
    <row r="68" spans="1:4">
      <c r="A68" s="184" t="s">
        <v>105</v>
      </c>
      <c r="B68" s="186"/>
      <c r="C68" s="186"/>
      <c r="D68" s="186"/>
    </row>
    <row r="69" spans="1:4">
      <c r="A69" s="21" t="s">
        <v>106</v>
      </c>
      <c r="B69" s="2" t="s">
        <v>107</v>
      </c>
      <c r="C69" s="22" t="s">
        <v>18</v>
      </c>
      <c r="D69" s="22" t="s">
        <v>19</v>
      </c>
    </row>
    <row r="70" spans="1:4">
      <c r="A70" s="21" t="s">
        <v>65</v>
      </c>
      <c r="B70" t="s">
        <v>66</v>
      </c>
      <c r="C70" s="22"/>
      <c r="D70" s="28">
        <f>D39</f>
        <v>256.66000000000003</v>
      </c>
    </row>
    <row r="71" spans="1:4">
      <c r="A71" s="21" t="s">
        <v>78</v>
      </c>
      <c r="B71" t="s">
        <v>79</v>
      </c>
      <c r="C71" s="22"/>
      <c r="D71" s="28">
        <f>D55</f>
        <v>580.16</v>
      </c>
    </row>
    <row r="72" spans="1:4">
      <c r="A72" s="21" t="s">
        <v>96</v>
      </c>
      <c r="B72" t="s">
        <v>97</v>
      </c>
      <c r="C72" s="22"/>
      <c r="D72" s="28">
        <f>D66</f>
        <v>433.01</v>
      </c>
    </row>
    <row r="73" spans="1:4">
      <c r="A73" s="21" t="s">
        <v>58</v>
      </c>
      <c r="C73" s="22"/>
      <c r="D73" s="28">
        <f>TRUNC((SUM(D70:D72)),2)</f>
        <v>1269.83</v>
      </c>
    </row>
    <row r="75" spans="1:4">
      <c r="A75" s="190" t="s">
        <v>108</v>
      </c>
      <c r="B75" s="183"/>
      <c r="C75" s="183"/>
      <c r="D75" s="183"/>
    </row>
    <row r="76" spans="1:4">
      <c r="A76" s="21" t="s">
        <v>109</v>
      </c>
      <c r="B76" s="2" t="s">
        <v>110</v>
      </c>
      <c r="C76" s="22" t="s">
        <v>38</v>
      </c>
      <c r="D76" s="22" t="s">
        <v>19</v>
      </c>
    </row>
    <row r="77" spans="1:4">
      <c r="A77" s="21" t="s">
        <v>42</v>
      </c>
      <c r="B77" t="s">
        <v>111</v>
      </c>
      <c r="C77" s="38">
        <f>((1/12)*2%)</f>
        <v>1.6666666666666666E-3</v>
      </c>
      <c r="D77" s="24">
        <f>TRUNC(($D$31*C77),2)</f>
        <v>2.2000000000000002</v>
      </c>
    </row>
    <row r="78" spans="1:4">
      <c r="A78" s="21" t="s">
        <v>45</v>
      </c>
      <c r="B78" t="s">
        <v>112</v>
      </c>
      <c r="C78" s="43">
        <v>0.08</v>
      </c>
      <c r="D78" s="28">
        <f>TRUNC(($D$77*C78),2)</f>
        <v>0.17</v>
      </c>
    </row>
    <row r="79" spans="1:4" ht="30">
      <c r="A79" s="21" t="s">
        <v>48</v>
      </c>
      <c r="B79" s="44" t="s">
        <v>113</v>
      </c>
      <c r="C79" s="45">
        <f>(0.08*0.4*0.02)</f>
        <v>6.4000000000000005E-4</v>
      </c>
      <c r="D79" s="41">
        <f t="shared" ref="D79:D80" si="1">TRUNC(($D$31*C79),2)</f>
        <v>0.84</v>
      </c>
    </row>
    <row r="80" spans="1:4">
      <c r="A80" s="21" t="s">
        <v>50</v>
      </c>
      <c r="B80" t="s">
        <v>114</v>
      </c>
      <c r="C80" s="43">
        <f>(((7/30)/12)*0.98)</f>
        <v>1.9055555555555555E-2</v>
      </c>
      <c r="D80" s="28">
        <f t="shared" si="1"/>
        <v>25.15</v>
      </c>
    </row>
    <row r="81" spans="1:4" ht="30">
      <c r="A81" s="21" t="s">
        <v>53</v>
      </c>
      <c r="B81" s="44" t="s">
        <v>210</v>
      </c>
      <c r="C81" s="45">
        <f>C55</f>
        <v>0.36800000000000005</v>
      </c>
      <c r="D81" s="41">
        <f>TRUNC(($D$80*C81),2)</f>
        <v>9.25</v>
      </c>
    </row>
    <row r="82" spans="1:4" ht="30">
      <c r="A82" s="21" t="s">
        <v>55</v>
      </c>
      <c r="B82" s="44" t="s">
        <v>115</v>
      </c>
      <c r="C82" s="45">
        <f>(0.08*0.4*0.98)</f>
        <v>3.1359999999999999E-2</v>
      </c>
      <c r="D82" s="41">
        <f>TRUNC(($D$31*C82),2)</f>
        <v>41.39</v>
      </c>
    </row>
    <row r="83" spans="1:4">
      <c r="A83" s="21" t="s">
        <v>58</v>
      </c>
      <c r="C83" s="43">
        <f>SUM(C77:C82)</f>
        <v>0.50072222222222229</v>
      </c>
      <c r="D83" s="28">
        <f>TRUNC((SUM(D77:D82)),2)</f>
        <v>79</v>
      </c>
    </row>
    <row r="84" spans="1:4" ht="15.75" thickBot="1">
      <c r="A84" s="21"/>
      <c r="D84" s="28"/>
    </row>
    <row r="85" spans="1:4" ht="16.5" thickTop="1" thickBot="1">
      <c r="A85" s="192" t="s">
        <v>211</v>
      </c>
      <c r="B85" s="192"/>
      <c r="C85" s="33" t="s">
        <v>202</v>
      </c>
      <c r="D85" s="34">
        <f>D31</f>
        <v>1320</v>
      </c>
    </row>
    <row r="86" spans="1:4" ht="16.5" thickTop="1" thickBot="1">
      <c r="A86" s="192"/>
      <c r="B86" s="192"/>
      <c r="C86" s="35" t="s">
        <v>212</v>
      </c>
      <c r="D86" s="34">
        <f>D73</f>
        <v>1269.83</v>
      </c>
    </row>
    <row r="87" spans="1:4" ht="16.5" thickTop="1" thickBot="1">
      <c r="A87" s="192"/>
      <c r="B87" s="192"/>
      <c r="C87" s="33" t="s">
        <v>213</v>
      </c>
      <c r="D87" s="34">
        <f>D83</f>
        <v>79</v>
      </c>
    </row>
    <row r="88" spans="1:4" ht="16.5" thickTop="1" thickBot="1">
      <c r="A88" s="192"/>
      <c r="B88" s="192"/>
      <c r="C88" s="35" t="s">
        <v>204</v>
      </c>
      <c r="D88" s="36">
        <f>TRUNC((SUM(D85:D87)),2)</f>
        <v>2668.83</v>
      </c>
    </row>
    <row r="89" spans="1:4" ht="15.75" thickTop="1">
      <c r="A89" s="21"/>
      <c r="D89" s="28"/>
    </row>
    <row r="90" spans="1:4">
      <c r="A90" s="198" t="s">
        <v>127</v>
      </c>
      <c r="B90" s="185"/>
      <c r="C90" s="185"/>
      <c r="D90" s="185"/>
    </row>
    <row r="91" spans="1:4">
      <c r="A91" s="184" t="s">
        <v>128</v>
      </c>
      <c r="B91" s="186"/>
      <c r="C91" s="186"/>
      <c r="D91" s="186"/>
    </row>
    <row r="92" spans="1:4">
      <c r="A92" s="21" t="s">
        <v>129</v>
      </c>
      <c r="B92" s="2" t="s">
        <v>130</v>
      </c>
      <c r="C92" s="22" t="s">
        <v>38</v>
      </c>
      <c r="D92" s="22" t="s">
        <v>19</v>
      </c>
    </row>
    <row r="93" spans="1:4">
      <c r="A93" s="21" t="s">
        <v>42</v>
      </c>
      <c r="B93" t="s">
        <v>132</v>
      </c>
      <c r="C93" s="43">
        <f>(((1+1/3)/12)/12)+((1/12)/12)</f>
        <v>1.6203703703703703E-2</v>
      </c>
      <c r="D93" s="28">
        <f>TRUNC(($D$88*C93),2)</f>
        <v>43.24</v>
      </c>
    </row>
    <row r="94" spans="1:4">
      <c r="A94" s="21" t="s">
        <v>45</v>
      </c>
      <c r="B94" t="s">
        <v>133</v>
      </c>
      <c r="C94" s="38">
        <f>((5/30)/12)</f>
        <v>1.3888888888888888E-2</v>
      </c>
      <c r="D94" s="41">
        <f>TRUNC(($D$88*C94),2)</f>
        <v>37.06</v>
      </c>
    </row>
    <row r="95" spans="1:4">
      <c r="A95" s="21" t="s">
        <v>48</v>
      </c>
      <c r="B95" t="s">
        <v>134</v>
      </c>
      <c r="C95" s="38">
        <f>((5/30)/12)*0.02</f>
        <v>2.7777777777777778E-4</v>
      </c>
      <c r="D95" s="41">
        <f t="shared" ref="D95:D97" si="2">TRUNC(($D$88*C95),2)</f>
        <v>0.74</v>
      </c>
    </row>
    <row r="96" spans="1:4" ht="30">
      <c r="A96" s="21" t="s">
        <v>50</v>
      </c>
      <c r="B96" s="44" t="s">
        <v>135</v>
      </c>
      <c r="C96" s="45">
        <f>((15/30)/12)*0.08</f>
        <v>3.3333333333333331E-3</v>
      </c>
      <c r="D96" s="41">
        <f t="shared" si="2"/>
        <v>8.89</v>
      </c>
    </row>
    <row r="97" spans="1:4">
      <c r="A97" s="21" t="s">
        <v>53</v>
      </c>
      <c r="B97" t="s">
        <v>136</v>
      </c>
      <c r="C97" s="38">
        <f>((1+1/3)/12)*0.00001*((4/12))</f>
        <v>3.7037037037037031E-7</v>
      </c>
      <c r="D97" s="41">
        <f t="shared" si="2"/>
        <v>0</v>
      </c>
    </row>
    <row r="98" spans="1:4">
      <c r="A98" s="21" t="s">
        <v>55</v>
      </c>
      <c r="B98" s="44" t="s">
        <v>214</v>
      </c>
      <c r="C98" s="46">
        <v>0</v>
      </c>
      <c r="D98" s="41">
        <f>TRUNC($D$88*C98)</f>
        <v>0</v>
      </c>
    </row>
    <row r="99" spans="1:4">
      <c r="A99" s="21" t="s">
        <v>58</v>
      </c>
      <c r="C99" s="43">
        <f>SUBTOTAL(109,Submódulo4.159_13798[Percentual])</f>
        <v>3.3704074074074074E-2</v>
      </c>
      <c r="D99" s="28">
        <f>TRUNC((SUM(D93:D98)),2)</f>
        <v>89.93</v>
      </c>
    </row>
    <row r="100" spans="1:4">
      <c r="A100" s="21"/>
      <c r="C100" s="22"/>
      <c r="D100" s="28"/>
    </row>
    <row r="101" spans="1:4">
      <c r="A101" s="184" t="s">
        <v>144</v>
      </c>
      <c r="B101" s="186"/>
      <c r="C101" s="186"/>
      <c r="D101" s="186"/>
    </row>
    <row r="102" spans="1:4">
      <c r="A102" s="21" t="s">
        <v>145</v>
      </c>
      <c r="B102" s="2" t="s">
        <v>146</v>
      </c>
      <c r="C102" s="22" t="s">
        <v>18</v>
      </c>
      <c r="D102" s="22" t="s">
        <v>19</v>
      </c>
    </row>
    <row r="103" spans="1:4" ht="105">
      <c r="A103" s="21" t="s">
        <v>42</v>
      </c>
      <c r="B103" s="47" t="s">
        <v>147</v>
      </c>
      <c r="C103" s="48" t="s">
        <v>215</v>
      </c>
      <c r="D103" s="49" t="s">
        <v>216</v>
      </c>
    </row>
    <row r="104" spans="1:4">
      <c r="A104" s="21" t="s">
        <v>58</v>
      </c>
      <c r="C104" s="50"/>
      <c r="D104" s="51" t="str">
        <f>D103</f>
        <v>*=TRUNCAR(($D$86/220)*(1*(365/12))/2)</v>
      </c>
    </row>
    <row r="106" spans="1:4">
      <c r="A106" s="184" t="s">
        <v>148</v>
      </c>
      <c r="B106" s="186"/>
      <c r="C106" s="186"/>
      <c r="D106" s="186"/>
    </row>
    <row r="107" spans="1:4">
      <c r="A107" s="21" t="s">
        <v>149</v>
      </c>
      <c r="B107" s="2" t="s">
        <v>150</v>
      </c>
      <c r="C107" s="22" t="s">
        <v>18</v>
      </c>
      <c r="D107" s="22" t="s">
        <v>19</v>
      </c>
    </row>
    <row r="108" spans="1:4">
      <c r="A108" s="21" t="s">
        <v>129</v>
      </c>
      <c r="B108" t="s">
        <v>130</v>
      </c>
      <c r="D108" s="24">
        <f>D99</f>
        <v>89.93</v>
      </c>
    </row>
    <row r="109" spans="1:4">
      <c r="A109" s="21" t="s">
        <v>145</v>
      </c>
      <c r="B109" t="s">
        <v>151</v>
      </c>
      <c r="C109" s="2"/>
      <c r="D109" s="52" t="str">
        <f>Submódulo4.260_13899[[#Totals],[Valor]]</f>
        <v>*=TRUNCAR(($D$86/220)*(1*(365/12))/2)</v>
      </c>
    </row>
    <row r="110" spans="1:4" ht="75">
      <c r="A110" s="21" t="s">
        <v>58</v>
      </c>
      <c r="B110" s="40"/>
      <c r="C110" s="48" t="s">
        <v>217</v>
      </c>
      <c r="D110" s="53">
        <f>TRUNC((SUM(D108:D109)),2)</f>
        <v>89.93</v>
      </c>
    </row>
    <row r="112" spans="1:4">
      <c r="A112" s="190" t="s">
        <v>152</v>
      </c>
      <c r="B112" s="183"/>
      <c r="C112" s="183"/>
      <c r="D112" s="183"/>
    </row>
    <row r="113" spans="1:11" ht="30.75" thickBot="1">
      <c r="A113" s="21" t="s">
        <v>153</v>
      </c>
      <c r="B113" s="21" t="s">
        <v>154</v>
      </c>
      <c r="C113" s="21" t="s">
        <v>18</v>
      </c>
      <c r="D113" s="21" t="s">
        <v>19</v>
      </c>
      <c r="H113" s="110" t="s">
        <v>218</v>
      </c>
      <c r="I113" s="55" t="s">
        <v>219</v>
      </c>
      <c r="J113" s="55" t="s">
        <v>220</v>
      </c>
      <c r="K113" s="55" t="s">
        <v>221</v>
      </c>
    </row>
    <row r="114" spans="1:11" ht="16.5" thickTop="1" thickBot="1">
      <c r="A114" s="21" t="s">
        <v>42</v>
      </c>
      <c r="B114" t="s">
        <v>222</v>
      </c>
      <c r="D114" s="56">
        <f>F114</f>
        <v>0</v>
      </c>
      <c r="F114" cm="1">
        <f t="array" ref="F114:G114">'Uniformes e EPI'!G134:H134</f>
        <v>0</v>
      </c>
      <c r="G114">
        <v>0</v>
      </c>
      <c r="H114" s="57" t="s">
        <v>223</v>
      </c>
      <c r="I114" s="58">
        <v>0</v>
      </c>
      <c r="J114" s="59">
        <v>70</v>
      </c>
      <c r="K114" s="59">
        <f>TRUNC(J114*I114,2)</f>
        <v>0</v>
      </c>
    </row>
    <row r="115" spans="1:11" ht="16.5" thickTop="1" thickBot="1">
      <c r="A115" s="21" t="s">
        <v>45</v>
      </c>
      <c r="B115" t="s">
        <v>224</v>
      </c>
      <c r="D115" s="56">
        <v>0</v>
      </c>
      <c r="H115" s="60" t="s">
        <v>225</v>
      </c>
      <c r="I115" s="61">
        <v>0</v>
      </c>
      <c r="J115" s="62">
        <v>35</v>
      </c>
      <c r="K115" s="59">
        <f>TRUNC(J115*I115,2)</f>
        <v>0</v>
      </c>
    </row>
    <row r="116" spans="1:11" ht="15.75" thickTop="1">
      <c r="A116" s="21" t="s">
        <v>48</v>
      </c>
      <c r="B116" t="s">
        <v>156</v>
      </c>
      <c r="D116" s="56">
        <v>0</v>
      </c>
      <c r="H116" s="194" t="s">
        <v>204</v>
      </c>
      <c r="I116" s="195"/>
      <c r="J116" s="196">
        <f>TRUNC(SUM(K114:K115),2)</f>
        <v>0</v>
      </c>
      <c r="K116" s="197"/>
    </row>
    <row r="117" spans="1:11">
      <c r="A117" s="21" t="s">
        <v>50</v>
      </c>
      <c r="B117" t="s">
        <v>157</v>
      </c>
      <c r="D117" s="56">
        <v>0</v>
      </c>
      <c r="H117" s="194" t="s">
        <v>226</v>
      </c>
      <c r="I117" s="195"/>
      <c r="J117" s="196">
        <f>TRUNC(J116/12,2)</f>
        <v>0</v>
      </c>
      <c r="K117" s="197"/>
    </row>
    <row r="118" spans="1:11">
      <c r="A118" s="21" t="s">
        <v>53</v>
      </c>
      <c r="B118" t="s">
        <v>227</v>
      </c>
      <c r="D118" s="56">
        <f>J117</f>
        <v>0</v>
      </c>
      <c r="H118" s="193" t="s">
        <v>228</v>
      </c>
      <c r="I118" s="193"/>
      <c r="J118" s="193"/>
      <c r="K118" s="193"/>
    </row>
    <row r="119" spans="1:11">
      <c r="A119" s="21" t="s">
        <v>58</v>
      </c>
      <c r="D119" s="63">
        <f>TRUNC(SUM(D114:D118),2)</f>
        <v>0</v>
      </c>
      <c r="H119" s="193"/>
      <c r="I119" s="193"/>
      <c r="J119" s="193"/>
      <c r="K119" s="193"/>
    </row>
    <row r="121" spans="1:11" ht="16.5" thickTop="1" thickBot="1">
      <c r="A121" s="192" t="s">
        <v>229</v>
      </c>
      <c r="B121" s="192"/>
      <c r="C121" s="33" t="s">
        <v>202</v>
      </c>
      <c r="D121" s="34">
        <f>D31</f>
        <v>1320</v>
      </c>
    </row>
    <row r="122" spans="1:11" ht="16.5" thickTop="1" thickBot="1">
      <c r="A122" s="192"/>
      <c r="B122" s="192"/>
      <c r="C122" s="35" t="s">
        <v>212</v>
      </c>
      <c r="D122" s="34">
        <f>D73</f>
        <v>1269.83</v>
      </c>
    </row>
    <row r="123" spans="1:11" ht="16.5" thickTop="1" thickBot="1">
      <c r="A123" s="192"/>
      <c r="B123" s="192"/>
      <c r="C123" s="33" t="s">
        <v>213</v>
      </c>
      <c r="D123" s="34">
        <f>D83</f>
        <v>79</v>
      </c>
    </row>
    <row r="124" spans="1:11" ht="16.5" thickTop="1" thickBot="1">
      <c r="A124" s="192"/>
      <c r="B124" s="192"/>
      <c r="C124" s="35" t="s">
        <v>230</v>
      </c>
      <c r="D124" s="34">
        <f>D110</f>
        <v>89.93</v>
      </c>
    </row>
    <row r="125" spans="1:11" ht="16.5" thickTop="1" thickBot="1">
      <c r="A125" s="192"/>
      <c r="B125" s="192"/>
      <c r="C125" s="33" t="s">
        <v>231</v>
      </c>
      <c r="D125" s="34">
        <f>D119</f>
        <v>0</v>
      </c>
    </row>
    <row r="126" spans="1:11" ht="16.5" thickTop="1" thickBot="1">
      <c r="A126" s="192"/>
      <c r="B126" s="192"/>
      <c r="C126" s="35" t="s">
        <v>204</v>
      </c>
      <c r="D126" s="36">
        <f>TRUNC((SUM(D121:D125)),2)</f>
        <v>2758.76</v>
      </c>
    </row>
    <row r="128" spans="1:11">
      <c r="A128" s="190" t="s">
        <v>164</v>
      </c>
      <c r="B128" s="183"/>
      <c r="C128" s="183"/>
      <c r="D128" s="183"/>
    </row>
    <row r="129" spans="1:9" ht="15.75" thickBot="1">
      <c r="A129" s="21" t="s">
        <v>165</v>
      </c>
      <c r="B129" t="s">
        <v>166</v>
      </c>
      <c r="C129" s="22" t="s">
        <v>38</v>
      </c>
      <c r="D129" s="22" t="s">
        <v>19</v>
      </c>
      <c r="H129" s="191" t="s">
        <v>232</v>
      </c>
      <c r="I129" s="191"/>
    </row>
    <row r="130" spans="1:9" ht="15.75" thickTop="1">
      <c r="A130" s="21" t="s">
        <v>42</v>
      </c>
      <c r="B130" t="s">
        <v>167</v>
      </c>
      <c r="C130" s="38">
        <v>0</v>
      </c>
      <c r="D130" s="24">
        <f>TRUNC(($D$126*C130),2)</f>
        <v>0</v>
      </c>
      <c r="H130" s="57" t="s">
        <v>233</v>
      </c>
      <c r="I130" s="45">
        <f>C132</f>
        <v>8.6499999999999994E-2</v>
      </c>
    </row>
    <row r="131" spans="1:9" ht="15.75" thickBot="1">
      <c r="A131" s="21" t="s">
        <v>45</v>
      </c>
      <c r="B131" t="s">
        <v>59</v>
      </c>
      <c r="C131" s="38">
        <v>0</v>
      </c>
      <c r="D131" s="24">
        <f>TRUNC((C131*(D126+D130)),2)</f>
        <v>0</v>
      </c>
      <c r="H131" s="64" t="s">
        <v>234</v>
      </c>
      <c r="I131" s="65">
        <f>TRUNC(SUM(D126,D130,D131),2)</f>
        <v>2758.76</v>
      </c>
    </row>
    <row r="132" spans="1:9" ht="15.75" thickTop="1">
      <c r="A132" s="21" t="s">
        <v>48</v>
      </c>
      <c r="B132" t="s">
        <v>168</v>
      </c>
      <c r="C132" s="38">
        <f>SUM(C133:C135)</f>
        <v>8.6499999999999994E-2</v>
      </c>
      <c r="D132" s="24">
        <f>TRUNC((SUM(D133:D135)),2)</f>
        <v>261.2</v>
      </c>
      <c r="H132" s="57" t="s">
        <v>235</v>
      </c>
      <c r="I132" s="66">
        <f>(100-8.65)/100</f>
        <v>0.91349999999999998</v>
      </c>
    </row>
    <row r="133" spans="1:9" ht="15.75" thickBot="1">
      <c r="A133" s="21"/>
      <c r="B133" t="s">
        <v>236</v>
      </c>
      <c r="C133" s="38">
        <v>6.4999999999999997E-3</v>
      </c>
      <c r="D133" s="24">
        <f t="shared" ref="D133:D135" si="3">TRUNC(($I$133*C133),2)</f>
        <v>19.62</v>
      </c>
      <c r="H133" s="64" t="s">
        <v>232</v>
      </c>
      <c r="I133" s="65">
        <f>TRUNC((I131/I132),2)</f>
        <v>3019.98</v>
      </c>
    </row>
    <row r="134" spans="1:9" ht="15.75" thickTop="1">
      <c r="A134" s="21"/>
      <c r="B134" t="s">
        <v>237</v>
      </c>
      <c r="C134" s="38">
        <v>0.03</v>
      </c>
      <c r="D134" s="24">
        <f t="shared" si="3"/>
        <v>90.59</v>
      </c>
    </row>
    <row r="135" spans="1:9">
      <c r="A135" s="21"/>
      <c r="B135" t="s">
        <v>238</v>
      </c>
      <c r="C135" s="38">
        <v>0.05</v>
      </c>
      <c r="D135" s="24">
        <f t="shared" si="3"/>
        <v>150.99</v>
      </c>
    </row>
    <row r="136" spans="1:9">
      <c r="A136" s="21" t="s">
        <v>58</v>
      </c>
      <c r="C136" s="67"/>
      <c r="D136" s="28">
        <f>TRUNC(SUM(D130:D132),2)</f>
        <v>261.2</v>
      </c>
    </row>
    <row r="137" spans="1:9">
      <c r="A137" s="21"/>
      <c r="C137" s="67"/>
      <c r="D137" s="28"/>
    </row>
    <row r="139" spans="1:9">
      <c r="A139" s="190" t="s">
        <v>172</v>
      </c>
      <c r="B139" s="183"/>
      <c r="C139" s="183"/>
      <c r="D139" s="183"/>
    </row>
    <row r="140" spans="1:9">
      <c r="A140" s="21" t="s">
        <v>16</v>
      </c>
      <c r="B140" s="22" t="s">
        <v>173</v>
      </c>
      <c r="C140" s="22" t="s">
        <v>102</v>
      </c>
      <c r="D140" s="22" t="s">
        <v>19</v>
      </c>
    </row>
    <row r="141" spans="1:9">
      <c r="A141" s="21" t="s">
        <v>42</v>
      </c>
      <c r="B141" t="s">
        <v>36</v>
      </c>
      <c r="D141" s="28">
        <f>D31</f>
        <v>1320</v>
      </c>
    </row>
    <row r="142" spans="1:9">
      <c r="A142" s="21" t="s">
        <v>45</v>
      </c>
      <c r="B142" t="s">
        <v>61</v>
      </c>
      <c r="D142" s="28">
        <f>D73</f>
        <v>1269.83</v>
      </c>
    </row>
    <row r="143" spans="1:9">
      <c r="A143" s="21" t="s">
        <v>48</v>
      </c>
      <c r="B143" t="s">
        <v>108</v>
      </c>
      <c r="D143" s="28">
        <f>D83</f>
        <v>79</v>
      </c>
    </row>
    <row r="144" spans="1:9">
      <c r="A144" s="21" t="s">
        <v>50</v>
      </c>
      <c r="B144" t="s">
        <v>174</v>
      </c>
      <c r="D144" s="28">
        <f>D110</f>
        <v>89.93</v>
      </c>
    </row>
    <row r="145" spans="1:4">
      <c r="A145" s="21" t="s">
        <v>53</v>
      </c>
      <c r="B145" t="s">
        <v>152</v>
      </c>
      <c r="D145" s="28">
        <f>D119</f>
        <v>0</v>
      </c>
    </row>
    <row r="146" spans="1:4">
      <c r="B146" s="68" t="s">
        <v>175</v>
      </c>
      <c r="D146" s="28">
        <f>TRUNC(SUM(D141:D145),2)</f>
        <v>2758.76</v>
      </c>
    </row>
    <row r="147" spans="1:4">
      <c r="A147" s="21" t="s">
        <v>55</v>
      </c>
      <c r="B147" t="s">
        <v>164</v>
      </c>
      <c r="D147" s="28">
        <f>D136</f>
        <v>261.2</v>
      </c>
    </row>
    <row r="148" spans="1:4">
      <c r="A148" s="69"/>
      <c r="B148" s="70" t="s">
        <v>240</v>
      </c>
      <c r="C148" s="71"/>
      <c r="D148" s="72">
        <f>TRUNC((SUM(D141:D145)+D147),2)</f>
        <v>3019.96</v>
      </c>
    </row>
  </sheetData>
  <mergeCells count="38">
    <mergeCell ref="H129:I129"/>
    <mergeCell ref="A139:D139"/>
    <mergeCell ref="J116:K116"/>
    <mergeCell ref="H117:I117"/>
    <mergeCell ref="J117:K117"/>
    <mergeCell ref="H118:K119"/>
    <mergeCell ref="A121:B126"/>
    <mergeCell ref="A128:D128"/>
    <mergeCell ref="H116:I116"/>
    <mergeCell ref="A90:D90"/>
    <mergeCell ref="A91:D91"/>
    <mergeCell ref="A101:D101"/>
    <mergeCell ref="A106:D106"/>
    <mergeCell ref="A112:D112"/>
    <mergeCell ref="A85:B88"/>
    <mergeCell ref="H15:I15"/>
    <mergeCell ref="H22:I22"/>
    <mergeCell ref="A23:D23"/>
    <mergeCell ref="H31:I31"/>
    <mergeCell ref="A33:D33"/>
    <mergeCell ref="A35:D35"/>
    <mergeCell ref="A15:D15"/>
    <mergeCell ref="A41:B43"/>
    <mergeCell ref="A45:D45"/>
    <mergeCell ref="A57:D57"/>
    <mergeCell ref="A68:D68"/>
    <mergeCell ref="A75:D75"/>
    <mergeCell ref="C10:D10"/>
    <mergeCell ref="A11:D11"/>
    <mergeCell ref="A12:B12"/>
    <mergeCell ref="A13:B13"/>
    <mergeCell ref="A14:B14"/>
    <mergeCell ref="C9:D9"/>
    <mergeCell ref="A2:D2"/>
    <mergeCell ref="A3:D3"/>
    <mergeCell ref="A6:D6"/>
    <mergeCell ref="C7:D7"/>
    <mergeCell ref="C8:D8"/>
  </mergeCells>
  <pageMargins left="0.25" right="0.25" top="0.75" bottom="0.75" header="0.3" footer="0.3"/>
  <pageSetup paperSize="9" scale="50" fitToHeight="0" orientation="portrait"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36FD9-7958-4BD6-A1C0-AC5C99ECAB34}">
  <sheetPr>
    <pageSetUpPr fitToPage="1"/>
  </sheetPr>
  <dimension ref="A2:K148"/>
  <sheetViews>
    <sheetView workbookViewId="0">
      <selection activeCell="H9" sqref="H9"/>
    </sheetView>
  </sheetViews>
  <sheetFormatPr defaultColWidth="9.140625" defaultRowHeight="15"/>
  <cols>
    <col min="1" max="1" width="10.5703125" style="4" customWidth="1"/>
    <col min="2" max="2" width="54.28515625" customWidth="1"/>
    <col min="3" max="3" width="23.85546875" customWidth="1"/>
    <col min="4" max="4" width="41" customWidth="1"/>
    <col min="5" max="6" width="11.28515625" hidden="1" customWidth="1"/>
    <col min="7" max="7" width="11.28515625" customWidth="1"/>
    <col min="8" max="8" width="22.85546875" customWidth="1"/>
    <col min="9" max="9" width="13.28515625" customWidth="1"/>
    <col min="10" max="10" width="12" customWidth="1"/>
    <col min="11" max="11" width="12.28515625" customWidth="1"/>
  </cols>
  <sheetData>
    <row r="2" spans="1:9" ht="19.5" thickBot="1">
      <c r="A2" s="208" t="s">
        <v>177</v>
      </c>
      <c r="B2" s="209"/>
      <c r="C2" s="209"/>
      <c r="D2" s="209"/>
    </row>
    <row r="3" spans="1:9" ht="15.75" thickTop="1">
      <c r="A3" s="214" t="str">
        <f>Pedreiro!A3</f>
        <v>Processo Administrativo n.° 23324.000132.2023-89</v>
      </c>
      <c r="B3" s="215"/>
      <c r="C3" s="215"/>
      <c r="D3" s="215"/>
    </row>
    <row r="4" spans="1:9" ht="21" customHeight="1">
      <c r="A4" s="5" t="s">
        <v>178</v>
      </c>
      <c r="B4" s="111" t="s">
        <v>419</v>
      </c>
      <c r="C4" s="7"/>
      <c r="D4" s="7"/>
    </row>
    <row r="5" spans="1:9">
      <c r="A5" s="8"/>
      <c r="B5" s="9"/>
      <c r="C5" s="9"/>
      <c r="D5" s="9"/>
    </row>
    <row r="6" spans="1:9" ht="15.75" thickBot="1">
      <c r="A6" s="190" t="s">
        <v>179</v>
      </c>
      <c r="B6" s="183"/>
      <c r="C6" s="183"/>
      <c r="D6" s="183"/>
    </row>
    <row r="7" spans="1:9" ht="15.75" thickTop="1">
      <c r="A7" s="10" t="s">
        <v>42</v>
      </c>
      <c r="B7" s="11" t="s">
        <v>180</v>
      </c>
      <c r="C7" s="212" t="s">
        <v>302</v>
      </c>
      <c r="D7" s="213"/>
    </row>
    <row r="8" spans="1:9">
      <c r="A8" s="12" t="s">
        <v>45</v>
      </c>
      <c r="B8" s="13" t="s">
        <v>181</v>
      </c>
      <c r="C8" s="203" t="s">
        <v>182</v>
      </c>
      <c r="D8" s="203"/>
    </row>
    <row r="9" spans="1:9">
      <c r="A9" s="15" t="s">
        <v>48</v>
      </c>
      <c r="B9" s="16" t="s">
        <v>183</v>
      </c>
      <c r="C9" s="203" t="s">
        <v>184</v>
      </c>
      <c r="D9" s="203"/>
    </row>
    <row r="10" spans="1:9">
      <c r="A10" s="12" t="s">
        <v>53</v>
      </c>
      <c r="B10" s="13" t="s">
        <v>185</v>
      </c>
      <c r="C10" s="203" t="s">
        <v>186</v>
      </c>
      <c r="D10" s="203"/>
    </row>
    <row r="11" spans="1:9" ht="15.75" thickBot="1">
      <c r="A11" s="201" t="s">
        <v>187</v>
      </c>
      <c r="B11" s="202"/>
      <c r="C11" s="202"/>
      <c r="D11" s="202"/>
    </row>
    <row r="12" spans="1:9" ht="16.5" thickTop="1" thickBot="1">
      <c r="A12" s="204" t="s">
        <v>188</v>
      </c>
      <c r="B12" s="205"/>
      <c r="C12" s="109" t="s">
        <v>189</v>
      </c>
      <c r="D12" s="18" t="s">
        <v>190</v>
      </c>
    </row>
    <row r="13" spans="1:9" ht="15.75" thickTop="1">
      <c r="A13" s="206" t="s">
        <v>311</v>
      </c>
      <c r="B13" s="207"/>
      <c r="C13" s="108" t="s">
        <v>192</v>
      </c>
      <c r="D13" s="19">
        <v>3</v>
      </c>
    </row>
    <row r="14" spans="1:9">
      <c r="A14" s="199"/>
      <c r="B14" s="200"/>
      <c r="C14" s="108"/>
      <c r="D14" s="20"/>
    </row>
    <row r="15" spans="1:9" ht="15.75" thickBot="1">
      <c r="A15" s="201" t="s">
        <v>14</v>
      </c>
      <c r="B15" s="202"/>
      <c r="C15" s="202"/>
      <c r="D15" s="202"/>
      <c r="H15" s="186"/>
      <c r="I15" s="186"/>
    </row>
    <row r="16" spans="1:9" ht="15.75" thickTop="1">
      <c r="A16" s="21" t="s">
        <v>16</v>
      </c>
      <c r="B16" t="s">
        <v>17</v>
      </c>
      <c r="C16" s="22" t="s">
        <v>18</v>
      </c>
      <c r="D16" s="22" t="s">
        <v>19</v>
      </c>
    </row>
    <row r="17" spans="1:9">
      <c r="A17" s="21">
        <v>1</v>
      </c>
      <c r="B17" t="s">
        <v>20</v>
      </c>
      <c r="C17" s="23" t="s">
        <v>102</v>
      </c>
      <c r="D17" s="23" t="str">
        <f>A13</f>
        <v>Motorista Interestadual</v>
      </c>
    </row>
    <row r="18" spans="1:9">
      <c r="A18" s="21">
        <v>2</v>
      </c>
      <c r="B18" t="s">
        <v>23</v>
      </c>
      <c r="C18" s="23" t="s">
        <v>193</v>
      </c>
      <c r="D18" s="23" t="s">
        <v>339</v>
      </c>
    </row>
    <row r="19" spans="1:9">
      <c r="A19" s="21">
        <v>3</v>
      </c>
      <c r="B19" t="s">
        <v>26</v>
      </c>
      <c r="C19" s="23" t="str">
        <f>C9</f>
        <v>CCT PB000517/2021</v>
      </c>
      <c r="D19" s="24">
        <v>3088.84</v>
      </c>
    </row>
    <row r="20" spans="1:9">
      <c r="A20" s="21">
        <v>4</v>
      </c>
      <c r="B20" t="s">
        <v>29</v>
      </c>
      <c r="C20" s="23" t="str">
        <f>C9</f>
        <v>CCT PB000517/2021</v>
      </c>
      <c r="D20" s="25" t="s">
        <v>195</v>
      </c>
    </row>
    <row r="21" spans="1:9">
      <c r="A21" s="21">
        <v>5</v>
      </c>
      <c r="B21" t="s">
        <v>33</v>
      </c>
      <c r="C21" s="23" t="str">
        <f>C9</f>
        <v>CCT PB000517/2021</v>
      </c>
      <c r="D21" s="26" t="s">
        <v>196</v>
      </c>
    </row>
    <row r="22" spans="1:9">
      <c r="H22" s="186"/>
      <c r="I22" s="186"/>
    </row>
    <row r="23" spans="1:9">
      <c r="A23" s="190" t="s">
        <v>36</v>
      </c>
      <c r="B23" s="183"/>
      <c r="C23" s="183"/>
      <c r="D23" s="183"/>
    </row>
    <row r="24" spans="1:9">
      <c r="A24" s="21" t="s">
        <v>39</v>
      </c>
      <c r="B24" s="2" t="s">
        <v>40</v>
      </c>
      <c r="C24" s="22" t="s">
        <v>18</v>
      </c>
      <c r="D24" s="22" t="s">
        <v>19</v>
      </c>
      <c r="I24" s="27"/>
    </row>
    <row r="25" spans="1:9">
      <c r="A25" s="21" t="s">
        <v>42</v>
      </c>
      <c r="B25" t="s">
        <v>43</v>
      </c>
      <c r="C25" s="25" t="s">
        <v>249</v>
      </c>
      <c r="D25" s="24">
        <f>D19</f>
        <v>3088.84</v>
      </c>
      <c r="I25" s="27"/>
    </row>
    <row r="26" spans="1:9">
      <c r="A26" s="21" t="s">
        <v>45</v>
      </c>
      <c r="B26" t="s">
        <v>198</v>
      </c>
      <c r="C26" s="25"/>
      <c r="D26" s="24">
        <v>0</v>
      </c>
      <c r="I26" s="27"/>
    </row>
    <row r="27" spans="1:9">
      <c r="A27" s="21" t="s">
        <v>48</v>
      </c>
      <c r="B27" t="s">
        <v>199</v>
      </c>
      <c r="C27" s="25"/>
      <c r="D27" s="24">
        <v>0</v>
      </c>
    </row>
    <row r="28" spans="1:9">
      <c r="A28" s="21" t="s">
        <v>50</v>
      </c>
      <c r="B28" t="s">
        <v>51</v>
      </c>
      <c r="C28" s="25"/>
      <c r="D28" s="24">
        <v>0</v>
      </c>
    </row>
    <row r="29" spans="1:9">
      <c r="A29" s="21" t="s">
        <v>53</v>
      </c>
      <c r="B29" t="s">
        <v>54</v>
      </c>
      <c r="C29" s="25"/>
      <c r="D29" s="24">
        <v>0</v>
      </c>
    </row>
    <row r="30" spans="1:9">
      <c r="A30" s="21" t="s">
        <v>55</v>
      </c>
      <c r="B30" t="s">
        <v>56</v>
      </c>
      <c r="C30" s="25"/>
      <c r="D30" s="24">
        <v>0</v>
      </c>
    </row>
    <row r="31" spans="1:9">
      <c r="A31" s="21" t="s">
        <v>58</v>
      </c>
      <c r="C31" s="22"/>
      <c r="D31" s="28">
        <f>TRUNC((SUM(D25:D30)),2)</f>
        <v>3088.84</v>
      </c>
      <c r="H31" s="186"/>
      <c r="I31" s="186"/>
    </row>
    <row r="32" spans="1:9">
      <c r="B32" s="29" t="s">
        <v>200</v>
      </c>
    </row>
    <row r="33" spans="1:9">
      <c r="A33" s="192" t="s">
        <v>61</v>
      </c>
      <c r="B33" s="187"/>
      <c r="C33" s="187"/>
      <c r="D33" s="187"/>
      <c r="I33" s="27"/>
    </row>
    <row r="35" spans="1:9">
      <c r="A35" s="184" t="s">
        <v>63</v>
      </c>
      <c r="B35" s="186"/>
      <c r="C35" s="186"/>
      <c r="D35" s="186"/>
    </row>
    <row r="36" spans="1:9">
      <c r="A36" s="21" t="s">
        <v>65</v>
      </c>
      <c r="B36" s="2" t="s">
        <v>66</v>
      </c>
      <c r="C36" s="22" t="s">
        <v>38</v>
      </c>
      <c r="D36" s="22" t="s">
        <v>19</v>
      </c>
    </row>
    <row r="37" spans="1:9">
      <c r="A37" s="21" t="s">
        <v>42</v>
      </c>
      <c r="B37" t="s">
        <v>67</v>
      </c>
      <c r="C37" s="31">
        <f>(1/12)</f>
        <v>8.3333333333333329E-2</v>
      </c>
      <c r="D37" s="28">
        <f>TRUNC($D$31*C37,2)</f>
        <v>257.39999999999998</v>
      </c>
      <c r="H37" s="32"/>
      <c r="I37" s="32"/>
    </row>
    <row r="38" spans="1:9">
      <c r="A38" s="21" t="s">
        <v>45</v>
      </c>
      <c r="B38" t="s">
        <v>68</v>
      </c>
      <c r="C38" s="31">
        <f>(((1+1/3)/12))</f>
        <v>0.1111111111111111</v>
      </c>
      <c r="D38" s="28">
        <f>TRUNC($D$31*C38,2)</f>
        <v>343.2</v>
      </c>
      <c r="H38" s="32"/>
      <c r="I38" s="32"/>
    </row>
    <row r="39" spans="1:9">
      <c r="A39" s="21" t="s">
        <v>58</v>
      </c>
      <c r="D39" s="28">
        <f>TRUNC((SUM(D37:D38)),2)</f>
        <v>600.6</v>
      </c>
      <c r="H39" s="32"/>
      <c r="I39" s="32"/>
    </row>
    <row r="40" spans="1:9" ht="15.75" thickBot="1">
      <c r="D40" s="28"/>
      <c r="H40" s="32"/>
      <c r="I40" s="32"/>
    </row>
    <row r="41" spans="1:9" ht="16.5" thickTop="1" thickBot="1">
      <c r="A41" s="192" t="s">
        <v>201</v>
      </c>
      <c r="B41" s="192"/>
      <c r="C41" s="33" t="s">
        <v>202</v>
      </c>
      <c r="D41" s="34">
        <f>D31</f>
        <v>3088.84</v>
      </c>
      <c r="H41" s="32"/>
      <c r="I41" s="32"/>
    </row>
    <row r="42" spans="1:9" ht="16.5" thickTop="1" thickBot="1">
      <c r="A42" s="192"/>
      <c r="B42" s="192"/>
      <c r="C42" s="35" t="s">
        <v>203</v>
      </c>
      <c r="D42" s="34">
        <f>D39</f>
        <v>600.6</v>
      </c>
      <c r="H42" s="32"/>
      <c r="I42" s="32"/>
    </row>
    <row r="43" spans="1:9" ht="16.5" thickTop="1" thickBot="1">
      <c r="A43" s="192"/>
      <c r="B43" s="192"/>
      <c r="C43" s="33" t="s">
        <v>204</v>
      </c>
      <c r="D43" s="36">
        <f>TRUNC((SUM(D41:D42)),2)</f>
        <v>3689.44</v>
      </c>
      <c r="H43" s="32"/>
      <c r="I43" s="32"/>
    </row>
    <row r="44" spans="1:9" ht="15.75" thickTop="1">
      <c r="A44" s="21"/>
      <c r="C44" s="37"/>
      <c r="D44" s="28"/>
      <c r="H44" s="32"/>
      <c r="I44" s="32"/>
    </row>
    <row r="45" spans="1:9">
      <c r="A45" s="184" t="s">
        <v>77</v>
      </c>
      <c r="B45" s="186"/>
      <c r="C45" s="186"/>
      <c r="D45" s="186"/>
    </row>
    <row r="46" spans="1:9">
      <c r="A46" s="21" t="s">
        <v>78</v>
      </c>
      <c r="B46" s="2" t="s">
        <v>79</v>
      </c>
      <c r="C46" s="22" t="s">
        <v>38</v>
      </c>
      <c r="D46" s="22" t="s">
        <v>80</v>
      </c>
    </row>
    <row r="47" spans="1:9">
      <c r="A47" s="21" t="s">
        <v>42</v>
      </c>
      <c r="B47" t="s">
        <v>81</v>
      </c>
      <c r="C47" s="31">
        <v>0.2</v>
      </c>
      <c r="D47" s="28">
        <f t="shared" ref="D47:D54" si="0">TRUNC(($D$43*C47),2)</f>
        <v>737.88</v>
      </c>
    </row>
    <row r="48" spans="1:9">
      <c r="A48" s="21" t="s">
        <v>45</v>
      </c>
      <c r="B48" t="s">
        <v>82</v>
      </c>
      <c r="C48" s="31">
        <v>2.5000000000000001E-2</v>
      </c>
      <c r="D48" s="28">
        <f t="shared" si="0"/>
        <v>92.23</v>
      </c>
    </row>
    <row r="49" spans="1:8">
      <c r="A49" s="21" t="s">
        <v>48</v>
      </c>
      <c r="B49" t="s">
        <v>205</v>
      </c>
      <c r="C49" s="38">
        <v>0.03</v>
      </c>
      <c r="D49" s="24">
        <f t="shared" si="0"/>
        <v>110.68</v>
      </c>
    </row>
    <row r="50" spans="1:8">
      <c r="A50" s="21" t="s">
        <v>50</v>
      </c>
      <c r="B50" t="s">
        <v>84</v>
      </c>
      <c r="C50" s="31">
        <v>1.4999999999999999E-2</v>
      </c>
      <c r="D50" s="28">
        <f t="shared" si="0"/>
        <v>55.34</v>
      </c>
    </row>
    <row r="51" spans="1:8">
      <c r="A51" s="21" t="s">
        <v>53</v>
      </c>
      <c r="B51" t="s">
        <v>85</v>
      </c>
      <c r="C51" s="31">
        <v>0.01</v>
      </c>
      <c r="D51" s="28">
        <f t="shared" si="0"/>
        <v>36.89</v>
      </c>
    </row>
    <row r="52" spans="1:8">
      <c r="A52" s="21" t="s">
        <v>55</v>
      </c>
      <c r="B52" t="s">
        <v>86</v>
      </c>
      <c r="C52" s="31">
        <v>6.0000000000000001E-3</v>
      </c>
      <c r="D52" s="28">
        <f t="shared" si="0"/>
        <v>22.13</v>
      </c>
    </row>
    <row r="53" spans="1:8">
      <c r="A53" s="21" t="s">
        <v>87</v>
      </c>
      <c r="B53" t="s">
        <v>88</v>
      </c>
      <c r="C53" s="31">
        <v>2E-3</v>
      </c>
      <c r="D53" s="28">
        <f t="shared" si="0"/>
        <v>7.37</v>
      </c>
    </row>
    <row r="54" spans="1:8">
      <c r="A54" s="21" t="s">
        <v>89</v>
      </c>
      <c r="B54" t="s">
        <v>90</v>
      </c>
      <c r="C54" s="31">
        <v>0.08</v>
      </c>
      <c r="D54" s="28">
        <f t="shared" si="0"/>
        <v>295.14999999999998</v>
      </c>
    </row>
    <row r="55" spans="1:8">
      <c r="A55" s="21" t="s">
        <v>58</v>
      </c>
      <c r="C55" s="37">
        <f>SUM(C47:C54)</f>
        <v>0.36800000000000005</v>
      </c>
      <c r="D55" s="28">
        <f>TRUNC((SUM(D47:D54)),2)</f>
        <v>1357.67</v>
      </c>
    </row>
    <row r="56" spans="1:8">
      <c r="A56" s="21"/>
      <c r="C56" s="37"/>
      <c r="D56" s="28"/>
    </row>
    <row r="57" spans="1:8">
      <c r="A57" s="184" t="s">
        <v>95</v>
      </c>
      <c r="B57" s="186"/>
      <c r="C57" s="186"/>
      <c r="D57" s="186"/>
    </row>
    <row r="58" spans="1:8">
      <c r="A58" s="21" t="s">
        <v>96</v>
      </c>
      <c r="B58" s="2" t="s">
        <v>97</v>
      </c>
      <c r="C58" s="22" t="s">
        <v>18</v>
      </c>
      <c r="D58" s="22" t="s">
        <v>19</v>
      </c>
    </row>
    <row r="59" spans="1:8">
      <c r="A59" s="21" t="s">
        <v>42</v>
      </c>
      <c r="B59" t="s">
        <v>98</v>
      </c>
      <c r="C59" s="23"/>
      <c r="D59" s="39">
        <v>0</v>
      </c>
    </row>
    <row r="60" spans="1:8">
      <c r="A60" s="21" t="s">
        <v>45</v>
      </c>
      <c r="B60" t="s">
        <v>99</v>
      </c>
      <c r="C60" s="23" t="str">
        <f>C9</f>
        <v>CCT PB000517/2021</v>
      </c>
      <c r="D60" s="24">
        <f>TRUNC((((22*20.91))-(((22*20.91))*0.2)),2)</f>
        <v>368.01</v>
      </c>
    </row>
    <row r="61" spans="1:8">
      <c r="A61" s="21" t="s">
        <v>48</v>
      </c>
      <c r="B61" t="s">
        <v>100</v>
      </c>
      <c r="C61" s="23"/>
      <c r="D61" s="24">
        <v>0</v>
      </c>
    </row>
    <row r="62" spans="1:8">
      <c r="A62" s="21" t="s">
        <v>50</v>
      </c>
      <c r="B62" s="40" t="s">
        <v>206</v>
      </c>
      <c r="C62" s="41"/>
      <c r="D62" s="41">
        <v>0</v>
      </c>
      <c r="H62" s="40"/>
    </row>
    <row r="63" spans="1:8">
      <c r="A63" s="21" t="s">
        <v>53</v>
      </c>
      <c r="B63" s="2" t="s">
        <v>207</v>
      </c>
      <c r="C63" s="23" t="str">
        <f>C60</f>
        <v>CCT PB000517/2021</v>
      </c>
      <c r="D63" s="24">
        <v>20</v>
      </c>
    </row>
    <row r="64" spans="1:8">
      <c r="A64" s="21" t="s">
        <v>55</v>
      </c>
      <c r="B64" s="42" t="s">
        <v>208</v>
      </c>
      <c r="C64" s="23" t="str">
        <f>C9</f>
        <v>CCT PB000517/2021</v>
      </c>
      <c r="D64" s="24">
        <v>5</v>
      </c>
    </row>
    <row r="65" spans="1:4">
      <c r="A65" s="21" t="s">
        <v>87</v>
      </c>
      <c r="B65" s="42" t="s">
        <v>209</v>
      </c>
      <c r="C65" s="41" t="str">
        <f>C60</f>
        <v>CCT PB000517/2021</v>
      </c>
      <c r="D65" s="24">
        <v>40</v>
      </c>
    </row>
    <row r="66" spans="1:4">
      <c r="A66" s="21" t="s">
        <v>58</v>
      </c>
      <c r="D66" s="28">
        <f>TRUNC((SUM(D59:D65)),2)</f>
        <v>433.01</v>
      </c>
    </row>
    <row r="67" spans="1:4">
      <c r="A67" s="21"/>
      <c r="D67" s="28"/>
    </row>
    <row r="68" spans="1:4">
      <c r="A68" s="184" t="s">
        <v>105</v>
      </c>
      <c r="B68" s="186"/>
      <c r="C68" s="186"/>
      <c r="D68" s="186"/>
    </row>
    <row r="69" spans="1:4">
      <c r="A69" s="21" t="s">
        <v>106</v>
      </c>
      <c r="B69" s="2" t="s">
        <v>107</v>
      </c>
      <c r="C69" s="22" t="s">
        <v>18</v>
      </c>
      <c r="D69" s="22" t="s">
        <v>19</v>
      </c>
    </row>
    <row r="70" spans="1:4">
      <c r="A70" s="21" t="s">
        <v>65</v>
      </c>
      <c r="B70" t="s">
        <v>66</v>
      </c>
      <c r="C70" s="22"/>
      <c r="D70" s="28">
        <f>D39</f>
        <v>600.6</v>
      </c>
    </row>
    <row r="71" spans="1:4">
      <c r="A71" s="21" t="s">
        <v>78</v>
      </c>
      <c r="B71" t="s">
        <v>79</v>
      </c>
      <c r="C71" s="22"/>
      <c r="D71" s="28">
        <f>D55</f>
        <v>1357.67</v>
      </c>
    </row>
    <row r="72" spans="1:4">
      <c r="A72" s="21" t="s">
        <v>96</v>
      </c>
      <c r="B72" t="s">
        <v>97</v>
      </c>
      <c r="C72" s="22"/>
      <c r="D72" s="28">
        <f>D66</f>
        <v>433.01</v>
      </c>
    </row>
    <row r="73" spans="1:4">
      <c r="A73" s="21" t="s">
        <v>58</v>
      </c>
      <c r="C73" s="22"/>
      <c r="D73" s="28">
        <f>TRUNC((SUM(D70:D72)),2)</f>
        <v>2391.2800000000002</v>
      </c>
    </row>
    <row r="75" spans="1:4">
      <c r="A75" s="190" t="s">
        <v>108</v>
      </c>
      <c r="B75" s="183"/>
      <c r="C75" s="183"/>
      <c r="D75" s="183"/>
    </row>
    <row r="76" spans="1:4">
      <c r="A76" s="21" t="s">
        <v>109</v>
      </c>
      <c r="B76" s="2" t="s">
        <v>110</v>
      </c>
      <c r="C76" s="22" t="s">
        <v>38</v>
      </c>
      <c r="D76" s="22" t="s">
        <v>19</v>
      </c>
    </row>
    <row r="77" spans="1:4">
      <c r="A77" s="21" t="s">
        <v>42</v>
      </c>
      <c r="B77" t="s">
        <v>111</v>
      </c>
      <c r="C77" s="38">
        <f>((1/12)*2%)</f>
        <v>1.6666666666666666E-3</v>
      </c>
      <c r="D77" s="24">
        <f>TRUNC(($D$31*C77),2)</f>
        <v>5.14</v>
      </c>
    </row>
    <row r="78" spans="1:4">
      <c r="A78" s="21" t="s">
        <v>45</v>
      </c>
      <c r="B78" t="s">
        <v>112</v>
      </c>
      <c r="C78" s="43">
        <v>0.08</v>
      </c>
      <c r="D78" s="28">
        <f>TRUNC(($D$77*C78),2)</f>
        <v>0.41</v>
      </c>
    </row>
    <row r="79" spans="1:4" ht="30">
      <c r="A79" s="21" t="s">
        <v>48</v>
      </c>
      <c r="B79" s="44" t="s">
        <v>113</v>
      </c>
      <c r="C79" s="45">
        <f>(0.08*0.4*0.02)</f>
        <v>6.4000000000000005E-4</v>
      </c>
      <c r="D79" s="41">
        <f t="shared" ref="D79:D80" si="1">TRUNC(($D$31*C79),2)</f>
        <v>1.97</v>
      </c>
    </row>
    <row r="80" spans="1:4">
      <c r="A80" s="21" t="s">
        <v>50</v>
      </c>
      <c r="B80" t="s">
        <v>114</v>
      </c>
      <c r="C80" s="43">
        <f>(((7/30)/12)*0.98)</f>
        <v>1.9055555555555555E-2</v>
      </c>
      <c r="D80" s="28">
        <f t="shared" si="1"/>
        <v>58.85</v>
      </c>
    </row>
    <row r="81" spans="1:4" ht="30">
      <c r="A81" s="21" t="s">
        <v>53</v>
      </c>
      <c r="B81" s="44" t="s">
        <v>210</v>
      </c>
      <c r="C81" s="45">
        <f>C55</f>
        <v>0.36800000000000005</v>
      </c>
      <c r="D81" s="41">
        <f>TRUNC(($D$80*C81),2)</f>
        <v>21.65</v>
      </c>
    </row>
    <row r="82" spans="1:4" ht="30">
      <c r="A82" s="21" t="s">
        <v>55</v>
      </c>
      <c r="B82" s="44" t="s">
        <v>115</v>
      </c>
      <c r="C82" s="45">
        <f>(0.08*0.4*0.98)</f>
        <v>3.1359999999999999E-2</v>
      </c>
      <c r="D82" s="41">
        <f>TRUNC(($D$31*C82),2)</f>
        <v>96.86</v>
      </c>
    </row>
    <row r="83" spans="1:4">
      <c r="A83" s="21" t="s">
        <v>58</v>
      </c>
      <c r="C83" s="43">
        <f>SUM(C77:C82)</f>
        <v>0.50072222222222229</v>
      </c>
      <c r="D83" s="28">
        <f>TRUNC((SUM(D77:D82)),2)</f>
        <v>184.88</v>
      </c>
    </row>
    <row r="84" spans="1:4" ht="15.75" thickBot="1">
      <c r="A84" s="21"/>
      <c r="D84" s="28"/>
    </row>
    <row r="85" spans="1:4" ht="16.5" thickTop="1" thickBot="1">
      <c r="A85" s="192" t="s">
        <v>211</v>
      </c>
      <c r="B85" s="192"/>
      <c r="C85" s="33" t="s">
        <v>202</v>
      </c>
      <c r="D85" s="34">
        <f>D31</f>
        <v>3088.84</v>
      </c>
    </row>
    <row r="86" spans="1:4" ht="16.5" thickTop="1" thickBot="1">
      <c r="A86" s="192"/>
      <c r="B86" s="192"/>
      <c r="C86" s="35" t="s">
        <v>212</v>
      </c>
      <c r="D86" s="34">
        <f>D73</f>
        <v>2391.2800000000002</v>
      </c>
    </row>
    <row r="87" spans="1:4" ht="16.5" thickTop="1" thickBot="1">
      <c r="A87" s="192"/>
      <c r="B87" s="192"/>
      <c r="C87" s="33" t="s">
        <v>213</v>
      </c>
      <c r="D87" s="34">
        <f>D83</f>
        <v>184.88</v>
      </c>
    </row>
    <row r="88" spans="1:4" ht="16.5" thickTop="1" thickBot="1">
      <c r="A88" s="192"/>
      <c r="B88" s="192"/>
      <c r="C88" s="35" t="s">
        <v>204</v>
      </c>
      <c r="D88" s="36">
        <f>TRUNC((SUM(D85:D87)),2)</f>
        <v>5665</v>
      </c>
    </row>
    <row r="89" spans="1:4" ht="15.75" thickTop="1">
      <c r="A89" s="21"/>
      <c r="D89" s="28"/>
    </row>
    <row r="90" spans="1:4">
      <c r="A90" s="198" t="s">
        <v>127</v>
      </c>
      <c r="B90" s="185"/>
      <c r="C90" s="185"/>
      <c r="D90" s="185"/>
    </row>
    <row r="91" spans="1:4">
      <c r="A91" s="184" t="s">
        <v>128</v>
      </c>
      <c r="B91" s="186"/>
      <c r="C91" s="186"/>
      <c r="D91" s="186"/>
    </row>
    <row r="92" spans="1:4">
      <c r="A92" s="21" t="s">
        <v>129</v>
      </c>
      <c r="B92" s="2" t="s">
        <v>130</v>
      </c>
      <c r="C92" s="22" t="s">
        <v>38</v>
      </c>
      <c r="D92" s="22" t="s">
        <v>19</v>
      </c>
    </row>
    <row r="93" spans="1:4">
      <c r="A93" s="21" t="s">
        <v>42</v>
      </c>
      <c r="B93" t="s">
        <v>132</v>
      </c>
      <c r="C93" s="43">
        <f>(((1+1/3)/12)/12)+((1/12)/12)</f>
        <v>1.6203703703703703E-2</v>
      </c>
      <c r="D93" s="28">
        <f>TRUNC(($D$88*C93),2)</f>
        <v>91.79</v>
      </c>
    </row>
    <row r="94" spans="1:4">
      <c r="A94" s="21" t="s">
        <v>45</v>
      </c>
      <c r="B94" t="s">
        <v>133</v>
      </c>
      <c r="C94" s="38">
        <f>((5/30)/12)</f>
        <v>1.3888888888888888E-2</v>
      </c>
      <c r="D94" s="41">
        <f>TRUNC(($D$88*C94),2)</f>
        <v>78.680000000000007</v>
      </c>
    </row>
    <row r="95" spans="1:4">
      <c r="A95" s="21" t="s">
        <v>48</v>
      </c>
      <c r="B95" t="s">
        <v>134</v>
      </c>
      <c r="C95" s="38">
        <f>((5/30)/12)*0.02</f>
        <v>2.7777777777777778E-4</v>
      </c>
      <c r="D95" s="41">
        <f t="shared" ref="D95:D97" si="2">TRUNC(($D$88*C95),2)</f>
        <v>1.57</v>
      </c>
    </row>
    <row r="96" spans="1:4" ht="30">
      <c r="A96" s="21" t="s">
        <v>50</v>
      </c>
      <c r="B96" s="44" t="s">
        <v>135</v>
      </c>
      <c r="C96" s="45">
        <f>((15/30)/12)*0.08</f>
        <v>3.3333333333333331E-3</v>
      </c>
      <c r="D96" s="41">
        <f t="shared" si="2"/>
        <v>18.88</v>
      </c>
    </row>
    <row r="97" spans="1:4">
      <c r="A97" s="21" t="s">
        <v>53</v>
      </c>
      <c r="B97" t="s">
        <v>136</v>
      </c>
      <c r="C97" s="38">
        <f>((1+1/3)/12)*0.00001*((4/12))</f>
        <v>3.7037037037037031E-7</v>
      </c>
      <c r="D97" s="41">
        <f t="shared" si="2"/>
        <v>0</v>
      </c>
    </row>
    <row r="98" spans="1:4">
      <c r="A98" s="21" t="s">
        <v>55</v>
      </c>
      <c r="B98" s="44" t="s">
        <v>214</v>
      </c>
      <c r="C98" s="46">
        <v>0</v>
      </c>
      <c r="D98" s="41">
        <f>TRUNC($D$88*C98)</f>
        <v>0</v>
      </c>
    </row>
    <row r="99" spans="1:4">
      <c r="A99" s="21" t="s">
        <v>58</v>
      </c>
      <c r="C99" s="43">
        <f>SUBTOTAL(109,Submódulo4.159_137151[Percentual])</f>
        <v>3.3704074074074074E-2</v>
      </c>
      <c r="D99" s="28">
        <f>TRUNC((SUM(D93:D98)),2)</f>
        <v>190.92</v>
      </c>
    </row>
    <row r="100" spans="1:4">
      <c r="A100" s="21"/>
      <c r="C100" s="22"/>
      <c r="D100" s="28"/>
    </row>
    <row r="101" spans="1:4">
      <c r="A101" s="184" t="s">
        <v>144</v>
      </c>
      <c r="B101" s="186"/>
      <c r="C101" s="186"/>
      <c r="D101" s="186"/>
    </row>
    <row r="102" spans="1:4">
      <c r="A102" s="21" t="s">
        <v>145</v>
      </c>
      <c r="B102" s="2" t="s">
        <v>146</v>
      </c>
      <c r="C102" s="22" t="s">
        <v>18</v>
      </c>
      <c r="D102" s="22" t="s">
        <v>19</v>
      </c>
    </row>
    <row r="103" spans="1:4" ht="105">
      <c r="A103" s="21" t="s">
        <v>42</v>
      </c>
      <c r="B103" s="47" t="s">
        <v>147</v>
      </c>
      <c r="C103" s="48" t="s">
        <v>215</v>
      </c>
      <c r="D103" s="49" t="s">
        <v>216</v>
      </c>
    </row>
    <row r="104" spans="1:4">
      <c r="A104" s="21" t="s">
        <v>58</v>
      </c>
      <c r="C104" s="50"/>
      <c r="D104" s="51" t="str">
        <f>D103</f>
        <v>*=TRUNCAR(($D$86/220)*(1*(365/12))/2)</v>
      </c>
    </row>
    <row r="106" spans="1:4">
      <c r="A106" s="184" t="s">
        <v>148</v>
      </c>
      <c r="B106" s="186"/>
      <c r="C106" s="186"/>
      <c r="D106" s="186"/>
    </row>
    <row r="107" spans="1:4">
      <c r="A107" s="21" t="s">
        <v>149</v>
      </c>
      <c r="B107" s="2" t="s">
        <v>150</v>
      </c>
      <c r="C107" s="22" t="s">
        <v>18</v>
      </c>
      <c r="D107" s="22" t="s">
        <v>19</v>
      </c>
    </row>
    <row r="108" spans="1:4">
      <c r="A108" s="21" t="s">
        <v>129</v>
      </c>
      <c r="B108" t="s">
        <v>130</v>
      </c>
      <c r="D108" s="24">
        <f>D99</f>
        <v>190.92</v>
      </c>
    </row>
    <row r="109" spans="1:4">
      <c r="A109" s="21" t="s">
        <v>145</v>
      </c>
      <c r="B109" t="s">
        <v>151</v>
      </c>
      <c r="C109" s="2"/>
      <c r="D109" s="52" t="str">
        <f>Submódulo4.260_138152[[#Totals],[Valor]]</f>
        <v>*=TRUNCAR(($D$86/220)*(1*(365/12))/2)</v>
      </c>
    </row>
    <row r="110" spans="1:4" ht="75">
      <c r="A110" s="21" t="s">
        <v>58</v>
      </c>
      <c r="B110" s="40"/>
      <c r="C110" s="48" t="s">
        <v>217</v>
      </c>
      <c r="D110" s="53">
        <f>TRUNC((SUM(D108:D109)),2)</f>
        <v>190.92</v>
      </c>
    </row>
    <row r="112" spans="1:4">
      <c r="A112" s="190" t="s">
        <v>152</v>
      </c>
      <c r="B112" s="183"/>
      <c r="C112" s="183"/>
      <c r="D112" s="183"/>
    </row>
    <row r="113" spans="1:11" ht="30.75" thickBot="1">
      <c r="A113" s="21" t="s">
        <v>153</v>
      </c>
      <c r="B113" s="21" t="s">
        <v>154</v>
      </c>
      <c r="C113" s="21" t="s">
        <v>18</v>
      </c>
      <c r="D113" s="21" t="s">
        <v>19</v>
      </c>
      <c r="H113" s="110" t="s">
        <v>218</v>
      </c>
      <c r="I113" s="55" t="s">
        <v>219</v>
      </c>
      <c r="J113" s="55" t="s">
        <v>220</v>
      </c>
      <c r="K113" s="55" t="s">
        <v>221</v>
      </c>
    </row>
    <row r="114" spans="1:11" ht="16.5" thickTop="1" thickBot="1">
      <c r="A114" s="21" t="s">
        <v>42</v>
      </c>
      <c r="B114" t="s">
        <v>222</v>
      </c>
      <c r="D114" s="56">
        <f>E114</f>
        <v>0</v>
      </c>
      <c r="E114" s="112" cm="1">
        <f t="array" ref="E114:F114">'Uniformes e EPI'!G147:H147</f>
        <v>0</v>
      </c>
      <c r="F114" s="112">
        <v>0</v>
      </c>
      <c r="G114" s="112"/>
      <c r="H114" s="57" t="s">
        <v>223</v>
      </c>
      <c r="I114" s="58">
        <v>0</v>
      </c>
      <c r="J114" s="59">
        <v>70</v>
      </c>
      <c r="K114" s="59">
        <f>TRUNC(J114*I114,2)</f>
        <v>0</v>
      </c>
    </row>
    <row r="115" spans="1:11" ht="16.5" thickTop="1" thickBot="1">
      <c r="A115" s="21" t="s">
        <v>45</v>
      </c>
      <c r="B115" t="s">
        <v>224</v>
      </c>
      <c r="D115" s="56">
        <v>0</v>
      </c>
      <c r="E115" s="112"/>
      <c r="F115" s="112"/>
      <c r="G115" s="112"/>
      <c r="H115" s="60" t="s">
        <v>225</v>
      </c>
      <c r="I115" s="61">
        <v>0</v>
      </c>
      <c r="J115" s="62">
        <v>35</v>
      </c>
      <c r="K115" s="59">
        <f>TRUNC(J115*I115,2)</f>
        <v>0</v>
      </c>
    </row>
    <row r="116" spans="1:11" ht="15.75" thickTop="1">
      <c r="A116" s="21" t="s">
        <v>48</v>
      </c>
      <c r="B116" t="s">
        <v>156</v>
      </c>
      <c r="D116" s="56">
        <v>0</v>
      </c>
      <c r="E116" s="112"/>
      <c r="F116" s="112"/>
      <c r="G116" s="112"/>
      <c r="H116" s="194" t="s">
        <v>204</v>
      </c>
      <c r="I116" s="195"/>
      <c r="J116" s="196">
        <f>TRUNC(SUM(K114:K115),2)</f>
        <v>0</v>
      </c>
      <c r="K116" s="197"/>
    </row>
    <row r="117" spans="1:11">
      <c r="A117" s="21" t="s">
        <v>50</v>
      </c>
      <c r="B117" t="s">
        <v>157</v>
      </c>
      <c r="D117" s="56">
        <v>0</v>
      </c>
      <c r="E117" s="112"/>
      <c r="F117" s="112"/>
      <c r="G117" s="112"/>
      <c r="H117" s="194" t="s">
        <v>226</v>
      </c>
      <c r="I117" s="195"/>
      <c r="J117" s="196">
        <f>TRUNC(J116/12,2)</f>
        <v>0</v>
      </c>
      <c r="K117" s="197"/>
    </row>
    <row r="118" spans="1:11">
      <c r="A118" s="21" t="s">
        <v>53</v>
      </c>
      <c r="B118" t="s">
        <v>227</v>
      </c>
      <c r="D118" s="56">
        <v>0</v>
      </c>
      <c r="E118" s="112"/>
      <c r="F118" s="112"/>
      <c r="G118" s="112"/>
      <c r="H118" s="193" t="s">
        <v>228</v>
      </c>
      <c r="I118" s="193"/>
      <c r="J118" s="193"/>
      <c r="K118" s="193"/>
    </row>
    <row r="119" spans="1:11">
      <c r="A119" s="21" t="s">
        <v>58</v>
      </c>
      <c r="D119" s="63">
        <f>SUM(D114:D118)</f>
        <v>0</v>
      </c>
      <c r="H119" s="193"/>
      <c r="I119" s="193"/>
      <c r="J119" s="193"/>
      <c r="K119" s="193"/>
    </row>
    <row r="121" spans="1:11" ht="16.5" thickTop="1" thickBot="1">
      <c r="A121" s="192" t="s">
        <v>229</v>
      </c>
      <c r="B121" s="192"/>
      <c r="C121" s="33" t="s">
        <v>202</v>
      </c>
      <c r="D121" s="34">
        <f>D31</f>
        <v>3088.84</v>
      </c>
    </row>
    <row r="122" spans="1:11" ht="16.5" thickTop="1" thickBot="1">
      <c r="A122" s="192"/>
      <c r="B122" s="192"/>
      <c r="C122" s="35" t="s">
        <v>212</v>
      </c>
      <c r="D122" s="34">
        <f>D73</f>
        <v>2391.2800000000002</v>
      </c>
    </row>
    <row r="123" spans="1:11" ht="16.5" thickTop="1" thickBot="1">
      <c r="A123" s="192"/>
      <c r="B123" s="192"/>
      <c r="C123" s="33" t="s">
        <v>213</v>
      </c>
      <c r="D123" s="34">
        <f>D83</f>
        <v>184.88</v>
      </c>
    </row>
    <row r="124" spans="1:11" ht="16.5" thickTop="1" thickBot="1">
      <c r="A124" s="192"/>
      <c r="B124" s="192"/>
      <c r="C124" s="35" t="s">
        <v>230</v>
      </c>
      <c r="D124" s="34">
        <f>D110</f>
        <v>190.92</v>
      </c>
    </row>
    <row r="125" spans="1:11" ht="16.5" thickTop="1" thickBot="1">
      <c r="A125" s="192"/>
      <c r="B125" s="192"/>
      <c r="C125" s="33" t="s">
        <v>231</v>
      </c>
      <c r="D125" s="34">
        <f>D119</f>
        <v>0</v>
      </c>
    </row>
    <row r="126" spans="1:11" ht="16.5" thickTop="1" thickBot="1">
      <c r="A126" s="192"/>
      <c r="B126" s="192"/>
      <c r="C126" s="35" t="s">
        <v>204</v>
      </c>
      <c r="D126" s="36">
        <f>TRUNC((SUM(D121:D125)),2)</f>
        <v>5855.92</v>
      </c>
    </row>
    <row r="128" spans="1:11">
      <c r="A128" s="190" t="s">
        <v>164</v>
      </c>
      <c r="B128" s="183"/>
      <c r="C128" s="183"/>
      <c r="D128" s="183"/>
    </row>
    <row r="129" spans="1:9" ht="15.75" thickBot="1">
      <c r="A129" s="21" t="s">
        <v>165</v>
      </c>
      <c r="B129" t="s">
        <v>166</v>
      </c>
      <c r="C129" s="22" t="s">
        <v>38</v>
      </c>
      <c r="D129" s="22" t="s">
        <v>19</v>
      </c>
      <c r="H129" s="191" t="s">
        <v>232</v>
      </c>
      <c r="I129" s="191"/>
    </row>
    <row r="130" spans="1:9" ht="15.75" thickTop="1">
      <c r="A130" s="21" t="s">
        <v>42</v>
      </c>
      <c r="B130" t="s">
        <v>167</v>
      </c>
      <c r="C130" s="38">
        <v>0</v>
      </c>
      <c r="D130" s="24">
        <f>TRUNC(($D$126*C130),2)</f>
        <v>0</v>
      </c>
      <c r="H130" s="57" t="s">
        <v>233</v>
      </c>
      <c r="I130" s="45">
        <f>C132</f>
        <v>8.6499999999999994E-2</v>
      </c>
    </row>
    <row r="131" spans="1:9" ht="15.75" thickBot="1">
      <c r="A131" s="21" t="s">
        <v>45</v>
      </c>
      <c r="B131" t="s">
        <v>59</v>
      </c>
      <c r="C131" s="38">
        <v>0</v>
      </c>
      <c r="D131" s="24">
        <f>TRUNC((C131*(D126+D130)),2)</f>
        <v>0</v>
      </c>
      <c r="H131" s="64" t="s">
        <v>234</v>
      </c>
      <c r="I131" s="65">
        <f>TRUNC(SUM(D126,D130,D131),2)</f>
        <v>5855.92</v>
      </c>
    </row>
    <row r="132" spans="1:9" ht="15.75" thickTop="1">
      <c r="A132" s="21" t="s">
        <v>48</v>
      </c>
      <c r="B132" t="s">
        <v>168</v>
      </c>
      <c r="C132" s="38">
        <f>SUM(C133:C135)</f>
        <v>8.6499999999999994E-2</v>
      </c>
      <c r="D132" s="24">
        <f>TRUNC((SUM(D133:D135)),2)</f>
        <v>554.49</v>
      </c>
      <c r="H132" s="57" t="s">
        <v>235</v>
      </c>
      <c r="I132" s="66">
        <f>(100-8.65)/100</f>
        <v>0.91349999999999998</v>
      </c>
    </row>
    <row r="133" spans="1:9" ht="15.75" thickBot="1">
      <c r="A133" s="21"/>
      <c r="B133" t="s">
        <v>236</v>
      </c>
      <c r="C133" s="38">
        <v>6.4999999999999997E-3</v>
      </c>
      <c r="D133" s="24">
        <f t="shared" ref="D133:D135" si="3">TRUNC(($I$133*C133),2)</f>
        <v>41.66</v>
      </c>
      <c r="H133" s="64" t="s">
        <v>232</v>
      </c>
      <c r="I133" s="65">
        <f>TRUNC((I131/I132),2)</f>
        <v>6410.42</v>
      </c>
    </row>
    <row r="134" spans="1:9" ht="15.75" thickTop="1">
      <c r="A134" s="21"/>
      <c r="B134" t="s">
        <v>237</v>
      </c>
      <c r="C134" s="38">
        <v>0.03</v>
      </c>
      <c r="D134" s="24">
        <f t="shared" si="3"/>
        <v>192.31</v>
      </c>
    </row>
    <row r="135" spans="1:9">
      <c r="A135" s="21"/>
      <c r="B135" t="s">
        <v>238</v>
      </c>
      <c r="C135" s="38">
        <v>0.05</v>
      </c>
      <c r="D135" s="24">
        <f t="shared" si="3"/>
        <v>320.52</v>
      </c>
    </row>
    <row r="136" spans="1:9">
      <c r="A136" s="21" t="s">
        <v>58</v>
      </c>
      <c r="C136" s="67"/>
      <c r="D136" s="28">
        <f>TRUNC(SUM(D130:D132),2)</f>
        <v>554.49</v>
      </c>
    </row>
    <row r="137" spans="1:9">
      <c r="A137" s="21"/>
      <c r="C137" s="67"/>
      <c r="D137" s="28"/>
    </row>
    <row r="139" spans="1:9">
      <c r="A139" s="190" t="s">
        <v>172</v>
      </c>
      <c r="B139" s="183"/>
      <c r="C139" s="183"/>
      <c r="D139" s="183"/>
    </row>
    <row r="140" spans="1:9">
      <c r="A140" s="21" t="s">
        <v>16</v>
      </c>
      <c r="B140" s="22" t="s">
        <v>173</v>
      </c>
      <c r="C140" s="22" t="s">
        <v>102</v>
      </c>
      <c r="D140" s="22" t="s">
        <v>19</v>
      </c>
    </row>
    <row r="141" spans="1:9">
      <c r="A141" s="21" t="s">
        <v>42</v>
      </c>
      <c r="B141" t="s">
        <v>36</v>
      </c>
      <c r="D141" s="28">
        <f>D31</f>
        <v>3088.84</v>
      </c>
    </row>
    <row r="142" spans="1:9">
      <c r="A142" s="21" t="s">
        <v>45</v>
      </c>
      <c r="B142" t="s">
        <v>61</v>
      </c>
      <c r="D142" s="28">
        <f>D73</f>
        <v>2391.2800000000002</v>
      </c>
    </row>
    <row r="143" spans="1:9">
      <c r="A143" s="21" t="s">
        <v>48</v>
      </c>
      <c r="B143" t="s">
        <v>108</v>
      </c>
      <c r="D143" s="28">
        <f>D83</f>
        <v>184.88</v>
      </c>
    </row>
    <row r="144" spans="1:9">
      <c r="A144" s="21" t="s">
        <v>50</v>
      </c>
      <c r="B144" t="s">
        <v>174</v>
      </c>
      <c r="D144" s="28">
        <f>D110</f>
        <v>190.92</v>
      </c>
    </row>
    <row r="145" spans="1:4">
      <c r="A145" s="21" t="s">
        <v>53</v>
      </c>
      <c r="B145" t="s">
        <v>152</v>
      </c>
      <c r="D145" s="28">
        <f>D119</f>
        <v>0</v>
      </c>
    </row>
    <row r="146" spans="1:4">
      <c r="B146" s="68" t="s">
        <v>175</v>
      </c>
      <c r="D146" s="28">
        <f>TRUNC(SUM(D141:D145),2)</f>
        <v>5855.92</v>
      </c>
    </row>
    <row r="147" spans="1:4">
      <c r="A147" s="21" t="s">
        <v>55</v>
      </c>
      <c r="B147" t="s">
        <v>164</v>
      </c>
      <c r="D147" s="28">
        <f>D136</f>
        <v>554.49</v>
      </c>
    </row>
    <row r="148" spans="1:4">
      <c r="A148" s="69"/>
      <c r="B148" s="70" t="s">
        <v>240</v>
      </c>
      <c r="C148" s="71"/>
      <c r="D148" s="72">
        <f>TRUNC((SUM(D141:D145)+D147),2)</f>
        <v>6410.41</v>
      </c>
    </row>
  </sheetData>
  <mergeCells count="38">
    <mergeCell ref="H129:I129"/>
    <mergeCell ref="A139:D139"/>
    <mergeCell ref="J116:K116"/>
    <mergeCell ref="H117:I117"/>
    <mergeCell ref="J117:K117"/>
    <mergeCell ref="H118:K119"/>
    <mergeCell ref="A121:B126"/>
    <mergeCell ref="A128:D128"/>
    <mergeCell ref="H116:I116"/>
    <mergeCell ref="A90:D90"/>
    <mergeCell ref="A91:D91"/>
    <mergeCell ref="A101:D101"/>
    <mergeCell ref="A106:D106"/>
    <mergeCell ref="A112:D112"/>
    <mergeCell ref="A85:B88"/>
    <mergeCell ref="H15:I15"/>
    <mergeCell ref="H22:I22"/>
    <mergeCell ref="A23:D23"/>
    <mergeCell ref="H31:I31"/>
    <mergeCell ref="A33:D33"/>
    <mergeCell ref="A35:D35"/>
    <mergeCell ref="A15:D15"/>
    <mergeCell ref="A41:B43"/>
    <mergeCell ref="A45:D45"/>
    <mergeCell ref="A57:D57"/>
    <mergeCell ref="A68:D68"/>
    <mergeCell ref="A75:D75"/>
    <mergeCell ref="C10:D10"/>
    <mergeCell ref="A11:D11"/>
    <mergeCell ref="A12:B12"/>
    <mergeCell ref="A13:B13"/>
    <mergeCell ref="A14:B14"/>
    <mergeCell ref="C9:D9"/>
    <mergeCell ref="A2:D2"/>
    <mergeCell ref="A3:D3"/>
    <mergeCell ref="A6:D6"/>
    <mergeCell ref="C7:D7"/>
    <mergeCell ref="C8:D8"/>
  </mergeCells>
  <pageMargins left="0.25" right="0.25" top="0.75" bottom="0.75" header="0.3" footer="0.3"/>
  <pageSetup paperSize="9" scale="49" fitToHeight="0" orientation="portrait"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48"/>
  <sheetViews>
    <sheetView zoomScale="90" zoomScaleNormal="90" workbookViewId="0">
      <selection activeCell="J5" sqref="J5"/>
    </sheetView>
  </sheetViews>
  <sheetFormatPr defaultColWidth="9.140625" defaultRowHeight="15"/>
  <cols>
    <col min="2" max="2" width="14" style="3" customWidth="1"/>
    <col min="3" max="3" width="39.42578125" customWidth="1"/>
    <col min="4" max="4" width="12" style="4" customWidth="1"/>
    <col min="5" max="5" width="13" customWidth="1"/>
    <col min="6" max="6" width="14.5703125" customWidth="1"/>
    <col min="7" max="7" width="15.42578125" customWidth="1"/>
    <col min="8" max="8" width="14.85546875" customWidth="1"/>
  </cols>
  <sheetData>
    <row r="1" spans="1:8">
      <c r="A1" s="221" t="s">
        <v>250</v>
      </c>
      <c r="B1" s="222"/>
      <c r="C1" s="221"/>
      <c r="D1" s="223"/>
      <c r="E1" s="221"/>
      <c r="F1" s="221"/>
      <c r="G1" s="221"/>
      <c r="H1" s="221"/>
    </row>
    <row r="2" spans="1:8">
      <c r="A2" s="218" t="s">
        <v>251</v>
      </c>
      <c r="B2" s="219"/>
      <c r="C2" s="218"/>
      <c r="D2" s="220"/>
      <c r="E2" s="218"/>
      <c r="F2" s="218"/>
      <c r="G2" s="218"/>
      <c r="H2" s="218"/>
    </row>
    <row r="3" spans="1:8" ht="75">
      <c r="A3" s="151" t="s">
        <v>252</v>
      </c>
      <c r="B3" s="151" t="s">
        <v>253</v>
      </c>
      <c r="C3" s="151" t="s">
        <v>254</v>
      </c>
      <c r="D3" s="151" t="s">
        <v>255</v>
      </c>
      <c r="E3" s="151" t="s">
        <v>256</v>
      </c>
      <c r="F3" s="151" t="s">
        <v>257</v>
      </c>
      <c r="G3" s="151" t="s">
        <v>258</v>
      </c>
      <c r="H3" s="151" t="s">
        <v>259</v>
      </c>
    </row>
    <row r="4" spans="1:8" ht="57.75">
      <c r="A4" s="152">
        <v>1</v>
      </c>
      <c r="B4" s="153" t="s">
        <v>260</v>
      </c>
      <c r="C4" s="154" t="s">
        <v>261</v>
      </c>
      <c r="D4" s="153" t="s">
        <v>262</v>
      </c>
      <c r="E4" s="164">
        <v>0</v>
      </c>
      <c r="F4" s="153">
        <v>4</v>
      </c>
      <c r="G4" s="155">
        <f>TRUNC(F4*E4,2)</f>
        <v>0</v>
      </c>
      <c r="H4" s="155">
        <f>TRUNC(G4/12,2)</f>
        <v>0</v>
      </c>
    </row>
    <row r="5" spans="1:8" ht="57.75">
      <c r="A5" s="156">
        <v>2</v>
      </c>
      <c r="B5" s="157" t="s">
        <v>263</v>
      </c>
      <c r="C5" s="158" t="s">
        <v>264</v>
      </c>
      <c r="D5" s="157" t="s">
        <v>262</v>
      </c>
      <c r="E5" s="164">
        <v>0</v>
      </c>
      <c r="F5" s="157">
        <v>2</v>
      </c>
      <c r="G5" s="159">
        <f t="shared" ref="G5:G14" si="0">TRUNC(F5*E5,2)</f>
        <v>0</v>
      </c>
      <c r="H5" s="159">
        <f t="shared" ref="H5:H14" si="1">TRUNC(G5/12,2)</f>
        <v>0</v>
      </c>
    </row>
    <row r="6" spans="1:8" ht="77.25" customHeight="1">
      <c r="A6" s="156">
        <v>3</v>
      </c>
      <c r="B6" s="157" t="s">
        <v>263</v>
      </c>
      <c r="C6" s="158" t="s">
        <v>265</v>
      </c>
      <c r="D6" s="157" t="s">
        <v>262</v>
      </c>
      <c r="E6" s="164">
        <v>0</v>
      </c>
      <c r="F6" s="157">
        <v>2</v>
      </c>
      <c r="G6" s="159">
        <f t="shared" si="0"/>
        <v>0</v>
      </c>
      <c r="H6" s="159">
        <f t="shared" si="1"/>
        <v>0</v>
      </c>
    </row>
    <row r="7" spans="1:8" ht="43.5">
      <c r="A7" s="156">
        <v>4</v>
      </c>
      <c r="B7" s="157" t="s">
        <v>266</v>
      </c>
      <c r="C7" s="158" t="s">
        <v>267</v>
      </c>
      <c r="D7" s="157" t="s">
        <v>262</v>
      </c>
      <c r="E7" s="164">
        <v>0</v>
      </c>
      <c r="F7" s="157">
        <v>2</v>
      </c>
      <c r="G7" s="159">
        <f t="shared" si="0"/>
        <v>0</v>
      </c>
      <c r="H7" s="159">
        <f t="shared" si="1"/>
        <v>0</v>
      </c>
    </row>
    <row r="8" spans="1:8" ht="86.25">
      <c r="A8" s="156">
        <v>5</v>
      </c>
      <c r="B8" s="157" t="s">
        <v>268</v>
      </c>
      <c r="C8" s="158" t="s">
        <v>269</v>
      </c>
      <c r="D8" s="157" t="s">
        <v>270</v>
      </c>
      <c r="E8" s="164">
        <v>0</v>
      </c>
      <c r="F8" s="157">
        <v>2</v>
      </c>
      <c r="G8" s="159">
        <f t="shared" si="0"/>
        <v>0</v>
      </c>
      <c r="H8" s="159">
        <f t="shared" si="1"/>
        <v>0</v>
      </c>
    </row>
    <row r="9" spans="1:8" ht="72">
      <c r="A9" s="156">
        <v>6</v>
      </c>
      <c r="B9" s="157" t="s">
        <v>271</v>
      </c>
      <c r="C9" s="158" t="s">
        <v>398</v>
      </c>
      <c r="D9" s="157" t="s">
        <v>270</v>
      </c>
      <c r="E9" s="164">
        <v>0</v>
      </c>
      <c r="F9" s="157">
        <v>2</v>
      </c>
      <c r="G9" s="159">
        <f t="shared" si="0"/>
        <v>0</v>
      </c>
      <c r="H9" s="159">
        <f t="shared" si="1"/>
        <v>0</v>
      </c>
    </row>
    <row r="10" spans="1:8" ht="100.5">
      <c r="A10" s="156">
        <v>7</v>
      </c>
      <c r="B10" s="157" t="s">
        <v>271</v>
      </c>
      <c r="C10" s="158" t="s">
        <v>399</v>
      </c>
      <c r="D10" s="157" t="s">
        <v>270</v>
      </c>
      <c r="E10" s="164">
        <v>0</v>
      </c>
      <c r="F10" s="157">
        <v>1</v>
      </c>
      <c r="G10" s="159">
        <f t="shared" si="0"/>
        <v>0</v>
      </c>
      <c r="H10" s="159">
        <f t="shared" si="1"/>
        <v>0</v>
      </c>
    </row>
    <row r="11" spans="1:8" ht="57.75">
      <c r="A11" s="156">
        <v>8</v>
      </c>
      <c r="B11" s="157" t="s">
        <v>272</v>
      </c>
      <c r="C11" s="158" t="s">
        <v>273</v>
      </c>
      <c r="D11" s="157" t="s">
        <v>262</v>
      </c>
      <c r="E11" s="164">
        <v>0</v>
      </c>
      <c r="F11" s="157">
        <v>1</v>
      </c>
      <c r="G11" s="159">
        <f t="shared" si="0"/>
        <v>0</v>
      </c>
      <c r="H11" s="159">
        <f t="shared" si="1"/>
        <v>0</v>
      </c>
    </row>
    <row r="12" spans="1:8" ht="86.25">
      <c r="A12" s="156">
        <v>9</v>
      </c>
      <c r="B12" s="157" t="s">
        <v>276</v>
      </c>
      <c r="C12" s="158" t="s">
        <v>277</v>
      </c>
      <c r="D12" s="157" t="s">
        <v>262</v>
      </c>
      <c r="E12" s="164">
        <v>0</v>
      </c>
      <c r="F12" s="157">
        <v>2</v>
      </c>
      <c r="G12" s="159">
        <f t="shared" si="0"/>
        <v>0</v>
      </c>
      <c r="H12" s="159">
        <f t="shared" si="1"/>
        <v>0</v>
      </c>
    </row>
    <row r="13" spans="1:8" ht="29.25">
      <c r="A13" s="156">
        <v>10</v>
      </c>
      <c r="B13" s="157" t="s">
        <v>278</v>
      </c>
      <c r="C13" s="158" t="s">
        <v>279</v>
      </c>
      <c r="D13" s="157" t="s">
        <v>262</v>
      </c>
      <c r="E13" s="164">
        <v>0</v>
      </c>
      <c r="F13" s="157">
        <v>4</v>
      </c>
      <c r="G13" s="159">
        <f t="shared" si="0"/>
        <v>0</v>
      </c>
      <c r="H13" s="159">
        <f t="shared" si="1"/>
        <v>0</v>
      </c>
    </row>
    <row r="14" spans="1:8" ht="100.5">
      <c r="A14" s="156">
        <v>11</v>
      </c>
      <c r="B14" s="156" t="s">
        <v>280</v>
      </c>
      <c r="C14" s="158" t="s">
        <v>281</v>
      </c>
      <c r="D14" s="157" t="s">
        <v>262</v>
      </c>
      <c r="E14" s="164">
        <v>0</v>
      </c>
      <c r="F14" s="157">
        <v>12</v>
      </c>
      <c r="G14" s="159">
        <f t="shared" si="0"/>
        <v>0</v>
      </c>
      <c r="H14" s="159">
        <f t="shared" si="1"/>
        <v>0</v>
      </c>
    </row>
    <row r="15" spans="1:8">
      <c r="A15" s="224" t="s">
        <v>204</v>
      </c>
      <c r="B15" s="224"/>
      <c r="C15" s="224"/>
      <c r="D15" s="224"/>
      <c r="E15" s="224"/>
      <c r="F15" s="224"/>
      <c r="G15" s="225">
        <f>TRUNC(SUM(H4:H14),2)</f>
        <v>0</v>
      </c>
      <c r="H15" s="225"/>
    </row>
    <row r="16" spans="1:8">
      <c r="A16" s="160"/>
      <c r="B16" s="161"/>
      <c r="C16" s="160"/>
      <c r="D16" s="162"/>
      <c r="E16" s="160"/>
      <c r="F16" s="160"/>
      <c r="G16" s="160"/>
      <c r="H16" s="160"/>
    </row>
    <row r="17" spans="1:8">
      <c r="A17" s="160"/>
      <c r="B17" s="161"/>
      <c r="C17" s="160"/>
      <c r="D17" s="162"/>
      <c r="E17" s="160"/>
      <c r="F17" s="160"/>
      <c r="G17" s="160"/>
      <c r="H17" s="160"/>
    </row>
    <row r="18" spans="1:8">
      <c r="A18" s="226" t="s">
        <v>250</v>
      </c>
      <c r="B18" s="227"/>
      <c r="C18" s="226"/>
      <c r="D18" s="228"/>
      <c r="E18" s="226"/>
      <c r="F18" s="226"/>
      <c r="G18" s="226"/>
      <c r="H18" s="226"/>
    </row>
    <row r="19" spans="1:8">
      <c r="A19" s="218" t="s">
        <v>282</v>
      </c>
      <c r="B19" s="219"/>
      <c r="C19" s="218"/>
      <c r="D19" s="220"/>
      <c r="E19" s="218"/>
      <c r="F19" s="218"/>
      <c r="G19" s="218"/>
      <c r="H19" s="218"/>
    </row>
    <row r="20" spans="1:8" ht="75">
      <c r="A20" s="151" t="s">
        <v>252</v>
      </c>
      <c r="B20" s="151" t="s">
        <v>253</v>
      </c>
      <c r="C20" s="151" t="s">
        <v>254</v>
      </c>
      <c r="D20" s="151" t="s">
        <v>255</v>
      </c>
      <c r="E20" s="151" t="s">
        <v>256</v>
      </c>
      <c r="F20" s="151" t="s">
        <v>257</v>
      </c>
      <c r="G20" s="151" t="s">
        <v>258</v>
      </c>
      <c r="H20" s="151" t="s">
        <v>259</v>
      </c>
    </row>
    <row r="21" spans="1:8" ht="85.5">
      <c r="A21" s="156">
        <v>1</v>
      </c>
      <c r="B21" s="157" t="s">
        <v>260</v>
      </c>
      <c r="C21" s="163" t="s">
        <v>283</v>
      </c>
      <c r="D21" s="157" t="s">
        <v>262</v>
      </c>
      <c r="E21" s="164">
        <v>0</v>
      </c>
      <c r="F21" s="157">
        <v>4</v>
      </c>
      <c r="G21" s="159">
        <f>TRUNC(F21*E21,2)</f>
        <v>0</v>
      </c>
      <c r="H21" s="159">
        <f>TRUNC(G21/12,2)</f>
        <v>0</v>
      </c>
    </row>
    <row r="22" spans="1:8" ht="114">
      <c r="A22" s="156">
        <v>2</v>
      </c>
      <c r="B22" s="157" t="s">
        <v>263</v>
      </c>
      <c r="C22" s="163" t="s">
        <v>284</v>
      </c>
      <c r="D22" s="157" t="s">
        <v>262</v>
      </c>
      <c r="E22" s="164">
        <v>0</v>
      </c>
      <c r="F22" s="157">
        <v>2</v>
      </c>
      <c r="G22" s="159">
        <f t="shared" ref="G22:G31" si="2">TRUNC(F22*E22,2)</f>
        <v>0</v>
      </c>
      <c r="H22" s="159">
        <f t="shared" ref="H22:H31" si="3">TRUNC(G22/12,2)</f>
        <v>0</v>
      </c>
    </row>
    <row r="23" spans="1:8" ht="71.25">
      <c r="A23" s="156">
        <v>3</v>
      </c>
      <c r="B23" s="157" t="s">
        <v>263</v>
      </c>
      <c r="C23" s="163" t="s">
        <v>265</v>
      </c>
      <c r="D23" s="157" t="s">
        <v>262</v>
      </c>
      <c r="E23" s="164">
        <v>0</v>
      </c>
      <c r="F23" s="157">
        <v>2</v>
      </c>
      <c r="G23" s="159">
        <f t="shared" si="2"/>
        <v>0</v>
      </c>
      <c r="H23" s="159">
        <f t="shared" si="3"/>
        <v>0</v>
      </c>
    </row>
    <row r="24" spans="1:8" ht="42.75">
      <c r="A24" s="156">
        <v>4</v>
      </c>
      <c r="B24" s="157" t="s">
        <v>266</v>
      </c>
      <c r="C24" s="163" t="s">
        <v>267</v>
      </c>
      <c r="D24" s="157" t="s">
        <v>262</v>
      </c>
      <c r="E24" s="164">
        <v>0</v>
      </c>
      <c r="F24" s="157">
        <v>2</v>
      </c>
      <c r="G24" s="159">
        <f t="shared" si="2"/>
        <v>0</v>
      </c>
      <c r="H24" s="159">
        <f t="shared" si="3"/>
        <v>0</v>
      </c>
    </row>
    <row r="25" spans="1:8" ht="85.5">
      <c r="A25" s="156">
        <v>5</v>
      </c>
      <c r="B25" s="157" t="s">
        <v>268</v>
      </c>
      <c r="C25" s="163" t="s">
        <v>269</v>
      </c>
      <c r="D25" s="157" t="s">
        <v>270</v>
      </c>
      <c r="E25" s="164">
        <v>0</v>
      </c>
      <c r="F25" s="157">
        <v>2</v>
      </c>
      <c r="G25" s="159">
        <f t="shared" si="2"/>
        <v>0</v>
      </c>
      <c r="H25" s="159">
        <f t="shared" si="3"/>
        <v>0</v>
      </c>
    </row>
    <row r="26" spans="1:8" ht="114">
      <c r="A26" s="156">
        <v>6</v>
      </c>
      <c r="B26" s="157" t="s">
        <v>271</v>
      </c>
      <c r="C26" s="163" t="s">
        <v>285</v>
      </c>
      <c r="D26" s="157" t="s">
        <v>270</v>
      </c>
      <c r="E26" s="164">
        <v>0</v>
      </c>
      <c r="F26" s="157">
        <v>2</v>
      </c>
      <c r="G26" s="159">
        <f t="shared" si="2"/>
        <v>0</v>
      </c>
      <c r="H26" s="159">
        <f t="shared" si="3"/>
        <v>0</v>
      </c>
    </row>
    <row r="27" spans="1:8" ht="57">
      <c r="A27" s="156">
        <v>7</v>
      </c>
      <c r="B27" s="157" t="s">
        <v>272</v>
      </c>
      <c r="C27" s="163" t="s">
        <v>273</v>
      </c>
      <c r="D27" s="157" t="s">
        <v>262</v>
      </c>
      <c r="E27" s="164">
        <v>0</v>
      </c>
      <c r="F27" s="157">
        <v>1</v>
      </c>
      <c r="G27" s="159">
        <f t="shared" si="2"/>
        <v>0</v>
      </c>
      <c r="H27" s="159">
        <f t="shared" si="3"/>
        <v>0</v>
      </c>
    </row>
    <row r="28" spans="1:8" ht="57">
      <c r="A28" s="156">
        <v>8</v>
      </c>
      <c r="B28" s="157" t="s">
        <v>274</v>
      </c>
      <c r="C28" s="163" t="s">
        <v>286</v>
      </c>
      <c r="D28" s="157" t="s">
        <v>270</v>
      </c>
      <c r="E28" s="164">
        <v>0</v>
      </c>
      <c r="F28" s="157">
        <v>1</v>
      </c>
      <c r="G28" s="159">
        <f t="shared" si="2"/>
        <v>0</v>
      </c>
      <c r="H28" s="159">
        <f t="shared" si="3"/>
        <v>0</v>
      </c>
    </row>
    <row r="29" spans="1:8" ht="57">
      <c r="A29" s="156">
        <v>9</v>
      </c>
      <c r="B29" s="157" t="s">
        <v>274</v>
      </c>
      <c r="C29" s="163" t="s">
        <v>275</v>
      </c>
      <c r="D29" s="157" t="s">
        <v>270</v>
      </c>
      <c r="E29" s="164">
        <v>0</v>
      </c>
      <c r="F29" s="157">
        <v>6</v>
      </c>
      <c r="G29" s="159">
        <f t="shared" si="2"/>
        <v>0</v>
      </c>
      <c r="H29" s="159">
        <f t="shared" si="3"/>
        <v>0</v>
      </c>
    </row>
    <row r="30" spans="1:8" ht="28.5">
      <c r="A30" s="156">
        <v>10</v>
      </c>
      <c r="B30" s="157" t="s">
        <v>278</v>
      </c>
      <c r="C30" s="163" t="s">
        <v>279</v>
      </c>
      <c r="D30" s="157" t="s">
        <v>262</v>
      </c>
      <c r="E30" s="164">
        <v>0</v>
      </c>
      <c r="F30" s="157">
        <v>4</v>
      </c>
      <c r="G30" s="159">
        <f t="shared" si="2"/>
        <v>0</v>
      </c>
      <c r="H30" s="159">
        <f t="shared" si="3"/>
        <v>0</v>
      </c>
    </row>
    <row r="31" spans="1:8" ht="99.75">
      <c r="A31" s="156">
        <v>11</v>
      </c>
      <c r="B31" s="157" t="s">
        <v>280</v>
      </c>
      <c r="C31" s="163" t="s">
        <v>281</v>
      </c>
      <c r="D31" s="157" t="s">
        <v>262</v>
      </c>
      <c r="E31" s="164">
        <v>0</v>
      </c>
      <c r="F31" s="157">
        <v>12</v>
      </c>
      <c r="G31" s="159">
        <f t="shared" si="2"/>
        <v>0</v>
      </c>
      <c r="H31" s="159">
        <f t="shared" si="3"/>
        <v>0</v>
      </c>
    </row>
    <row r="32" spans="1:8">
      <c r="A32" s="216" t="s">
        <v>204</v>
      </c>
      <c r="B32" s="216"/>
      <c r="C32" s="216"/>
      <c r="D32" s="216"/>
      <c r="E32" s="216"/>
      <c r="F32" s="216"/>
      <c r="G32" s="217">
        <f>TRUNC(SUM(H21:H31),2)</f>
        <v>0</v>
      </c>
      <c r="H32" s="217"/>
    </row>
    <row r="33" spans="1:8">
      <c r="A33" s="160"/>
      <c r="B33" s="161"/>
      <c r="C33" s="160"/>
      <c r="D33" s="162"/>
      <c r="E33" s="160"/>
      <c r="F33" s="160"/>
      <c r="G33" s="160"/>
      <c r="H33" s="160"/>
    </row>
    <row r="34" spans="1:8">
      <c r="A34" s="160"/>
      <c r="B34" s="161"/>
      <c r="C34" s="160"/>
      <c r="D34" s="162"/>
      <c r="E34" s="160"/>
      <c r="F34" s="160"/>
      <c r="G34" s="160"/>
      <c r="H34" s="160"/>
    </row>
    <row r="35" spans="1:8">
      <c r="A35" s="221" t="s">
        <v>250</v>
      </c>
      <c r="B35" s="222"/>
      <c r="C35" s="221"/>
      <c r="D35" s="223"/>
      <c r="E35" s="221"/>
      <c r="F35" s="221"/>
      <c r="G35" s="221"/>
      <c r="H35" s="221"/>
    </row>
    <row r="36" spans="1:8">
      <c r="A36" s="218" t="s">
        <v>287</v>
      </c>
      <c r="B36" s="219"/>
      <c r="C36" s="218"/>
      <c r="D36" s="220"/>
      <c r="E36" s="218"/>
      <c r="F36" s="218"/>
      <c r="G36" s="218"/>
      <c r="H36" s="218"/>
    </row>
    <row r="37" spans="1:8" ht="75">
      <c r="A37" s="151" t="s">
        <v>252</v>
      </c>
      <c r="B37" s="151" t="s">
        <v>253</v>
      </c>
      <c r="C37" s="151" t="s">
        <v>254</v>
      </c>
      <c r="D37" s="151" t="s">
        <v>255</v>
      </c>
      <c r="E37" s="151" t="s">
        <v>256</v>
      </c>
      <c r="F37" s="151" t="s">
        <v>257</v>
      </c>
      <c r="G37" s="151" t="s">
        <v>258</v>
      </c>
      <c r="H37" s="151" t="s">
        <v>259</v>
      </c>
    </row>
    <row r="38" spans="1:8" ht="57">
      <c r="A38" s="156">
        <v>1</v>
      </c>
      <c r="B38" s="157" t="s">
        <v>260</v>
      </c>
      <c r="C38" s="163" t="s">
        <v>261</v>
      </c>
      <c r="D38" s="157" t="s">
        <v>262</v>
      </c>
      <c r="E38" s="164">
        <v>0</v>
      </c>
      <c r="F38" s="157">
        <v>4</v>
      </c>
      <c r="G38" s="159">
        <f>TRUNC(F38*E38,2)</f>
        <v>0</v>
      </c>
      <c r="H38" s="159">
        <f>TRUNC(G38/12,2)</f>
        <v>0</v>
      </c>
    </row>
    <row r="39" spans="1:8" ht="57">
      <c r="A39" s="156">
        <v>2</v>
      </c>
      <c r="B39" s="157" t="s">
        <v>263</v>
      </c>
      <c r="C39" s="163" t="s">
        <v>264</v>
      </c>
      <c r="D39" s="157" t="s">
        <v>262</v>
      </c>
      <c r="E39" s="164">
        <v>0</v>
      </c>
      <c r="F39" s="157">
        <v>2</v>
      </c>
      <c r="G39" s="159">
        <f t="shared" ref="G39:G46" si="4">TRUNC(F39*E39,2)</f>
        <v>0</v>
      </c>
      <c r="H39" s="159">
        <f t="shared" ref="H39:H46" si="5">TRUNC(G39/12,2)</f>
        <v>0</v>
      </c>
    </row>
    <row r="40" spans="1:8" ht="71.25">
      <c r="A40" s="156">
        <v>3</v>
      </c>
      <c r="B40" s="157" t="s">
        <v>263</v>
      </c>
      <c r="C40" s="163" t="s">
        <v>265</v>
      </c>
      <c r="D40" s="157" t="s">
        <v>262</v>
      </c>
      <c r="E40" s="164">
        <v>0</v>
      </c>
      <c r="F40" s="157">
        <v>2</v>
      </c>
      <c r="G40" s="159">
        <f t="shared" si="4"/>
        <v>0</v>
      </c>
      <c r="H40" s="159">
        <f t="shared" si="5"/>
        <v>0</v>
      </c>
    </row>
    <row r="41" spans="1:8" ht="42.75">
      <c r="A41" s="156">
        <v>4</v>
      </c>
      <c r="B41" s="157" t="s">
        <v>266</v>
      </c>
      <c r="C41" s="163" t="s">
        <v>267</v>
      </c>
      <c r="D41" s="157" t="s">
        <v>262</v>
      </c>
      <c r="E41" s="164">
        <v>0</v>
      </c>
      <c r="F41" s="157">
        <v>2</v>
      </c>
      <c r="G41" s="159">
        <f t="shared" si="4"/>
        <v>0</v>
      </c>
      <c r="H41" s="159">
        <f t="shared" si="5"/>
        <v>0</v>
      </c>
    </row>
    <row r="42" spans="1:8" ht="85.5">
      <c r="A42" s="156">
        <v>5</v>
      </c>
      <c r="B42" s="157" t="s">
        <v>268</v>
      </c>
      <c r="C42" s="163" t="s">
        <v>269</v>
      </c>
      <c r="D42" s="157" t="s">
        <v>270</v>
      </c>
      <c r="E42" s="164">
        <v>0</v>
      </c>
      <c r="F42" s="157">
        <v>2</v>
      </c>
      <c r="G42" s="159">
        <f t="shared" si="4"/>
        <v>0</v>
      </c>
      <c r="H42" s="159">
        <f t="shared" si="5"/>
        <v>0</v>
      </c>
    </row>
    <row r="43" spans="1:8" ht="71.25">
      <c r="A43" s="156">
        <v>6</v>
      </c>
      <c r="B43" s="157" t="s">
        <v>271</v>
      </c>
      <c r="C43" s="163" t="s">
        <v>398</v>
      </c>
      <c r="D43" s="157" t="s">
        <v>270</v>
      </c>
      <c r="E43" s="164">
        <v>0</v>
      </c>
      <c r="F43" s="157">
        <v>2</v>
      </c>
      <c r="G43" s="159">
        <f t="shared" si="4"/>
        <v>0</v>
      </c>
      <c r="H43" s="159">
        <f t="shared" si="5"/>
        <v>0</v>
      </c>
    </row>
    <row r="44" spans="1:8" ht="57">
      <c r="A44" s="156">
        <v>7</v>
      </c>
      <c r="B44" s="157" t="s">
        <v>272</v>
      </c>
      <c r="C44" s="163" t="s">
        <v>273</v>
      </c>
      <c r="D44" s="157" t="s">
        <v>262</v>
      </c>
      <c r="E44" s="164">
        <v>0</v>
      </c>
      <c r="F44" s="157">
        <v>1</v>
      </c>
      <c r="G44" s="159">
        <f t="shared" si="4"/>
        <v>0</v>
      </c>
      <c r="H44" s="159">
        <f t="shared" si="5"/>
        <v>0</v>
      </c>
    </row>
    <row r="45" spans="1:8" ht="28.5">
      <c r="A45" s="156">
        <v>8</v>
      </c>
      <c r="B45" s="157" t="s">
        <v>278</v>
      </c>
      <c r="C45" s="163" t="s">
        <v>279</v>
      </c>
      <c r="D45" s="157" t="s">
        <v>262</v>
      </c>
      <c r="E45" s="164">
        <v>0</v>
      </c>
      <c r="F45" s="157">
        <v>4</v>
      </c>
      <c r="G45" s="159">
        <f t="shared" si="4"/>
        <v>0</v>
      </c>
      <c r="H45" s="159">
        <f t="shared" si="5"/>
        <v>0</v>
      </c>
    </row>
    <row r="46" spans="1:8" ht="99.75">
      <c r="A46" s="156">
        <v>9</v>
      </c>
      <c r="B46" s="157" t="s">
        <v>280</v>
      </c>
      <c r="C46" s="163" t="s">
        <v>281</v>
      </c>
      <c r="D46" s="157" t="s">
        <v>262</v>
      </c>
      <c r="E46" s="164">
        <v>0</v>
      </c>
      <c r="F46" s="157">
        <v>12</v>
      </c>
      <c r="G46" s="159">
        <f t="shared" si="4"/>
        <v>0</v>
      </c>
      <c r="H46" s="159">
        <f t="shared" si="5"/>
        <v>0</v>
      </c>
    </row>
    <row r="47" spans="1:8">
      <c r="A47" s="216" t="s">
        <v>204</v>
      </c>
      <c r="B47" s="216"/>
      <c r="C47" s="216"/>
      <c r="D47" s="216"/>
      <c r="E47" s="216"/>
      <c r="F47" s="216"/>
      <c r="G47" s="217">
        <f>TRUNC(SUM(H38:H46),2)</f>
        <v>0</v>
      </c>
      <c r="H47" s="217"/>
    </row>
    <row r="48" spans="1:8">
      <c r="A48" s="160"/>
      <c r="B48" s="161"/>
      <c r="C48" s="160"/>
      <c r="D48" s="162"/>
      <c r="E48" s="160"/>
      <c r="F48" s="160"/>
      <c r="G48" s="160"/>
      <c r="H48" s="160"/>
    </row>
    <row r="49" spans="1:8">
      <c r="A49" s="221" t="s">
        <v>250</v>
      </c>
      <c r="B49" s="222"/>
      <c r="C49" s="221"/>
      <c r="D49" s="223"/>
      <c r="E49" s="221"/>
      <c r="F49" s="221"/>
      <c r="G49" s="221"/>
      <c r="H49" s="221"/>
    </row>
    <row r="50" spans="1:8">
      <c r="A50" s="218" t="s">
        <v>315</v>
      </c>
      <c r="B50" s="219"/>
      <c r="C50" s="218"/>
      <c r="D50" s="220"/>
      <c r="E50" s="218"/>
      <c r="F50" s="218"/>
      <c r="G50" s="218"/>
      <c r="H50" s="218"/>
    </row>
    <row r="51" spans="1:8" ht="75">
      <c r="A51" s="151" t="s">
        <v>252</v>
      </c>
      <c r="B51" s="151" t="s">
        <v>253</v>
      </c>
      <c r="C51" s="151" t="s">
        <v>254</v>
      </c>
      <c r="D51" s="151" t="s">
        <v>255</v>
      </c>
      <c r="E51" s="151" t="s">
        <v>256</v>
      </c>
      <c r="F51" s="151" t="s">
        <v>257</v>
      </c>
      <c r="G51" s="151" t="s">
        <v>258</v>
      </c>
      <c r="H51" s="151" t="s">
        <v>259</v>
      </c>
    </row>
    <row r="52" spans="1:8" ht="57">
      <c r="A52" s="156">
        <v>1</v>
      </c>
      <c r="B52" s="157" t="s">
        <v>260</v>
      </c>
      <c r="C52" s="163" t="s">
        <v>261</v>
      </c>
      <c r="D52" s="157" t="s">
        <v>262</v>
      </c>
      <c r="E52" s="164">
        <v>0</v>
      </c>
      <c r="F52" s="157">
        <v>4</v>
      </c>
      <c r="G52" s="159">
        <f>TRUNC(F52*E52,2)</f>
        <v>0</v>
      </c>
      <c r="H52" s="159">
        <f>TRUNC(G52/12,2)</f>
        <v>0</v>
      </c>
    </row>
    <row r="53" spans="1:8" ht="57">
      <c r="A53" s="156">
        <v>2</v>
      </c>
      <c r="B53" s="157" t="s">
        <v>263</v>
      </c>
      <c r="C53" s="163" t="s">
        <v>264</v>
      </c>
      <c r="D53" s="157" t="s">
        <v>262</v>
      </c>
      <c r="E53" s="164">
        <v>0</v>
      </c>
      <c r="F53" s="157">
        <v>2</v>
      </c>
      <c r="G53" s="159">
        <f t="shared" ref="G53:G61" si="6">TRUNC(F53*E53,2)</f>
        <v>0</v>
      </c>
      <c r="H53" s="159">
        <f t="shared" ref="H53:H61" si="7">TRUNC(G53/12,2)</f>
        <v>0</v>
      </c>
    </row>
    <row r="54" spans="1:8" ht="71.25">
      <c r="A54" s="156">
        <v>3</v>
      </c>
      <c r="B54" s="157" t="s">
        <v>263</v>
      </c>
      <c r="C54" s="163" t="s">
        <v>265</v>
      </c>
      <c r="D54" s="157" t="s">
        <v>262</v>
      </c>
      <c r="E54" s="164">
        <v>0</v>
      </c>
      <c r="F54" s="157">
        <v>2</v>
      </c>
      <c r="G54" s="159">
        <f t="shared" si="6"/>
        <v>0</v>
      </c>
      <c r="H54" s="159">
        <f t="shared" si="7"/>
        <v>0</v>
      </c>
    </row>
    <row r="55" spans="1:8" ht="42.75">
      <c r="A55" s="156">
        <v>4</v>
      </c>
      <c r="B55" s="157" t="s">
        <v>266</v>
      </c>
      <c r="C55" s="163" t="s">
        <v>267</v>
      </c>
      <c r="D55" s="157" t="s">
        <v>262</v>
      </c>
      <c r="E55" s="164">
        <v>0</v>
      </c>
      <c r="F55" s="157">
        <v>2</v>
      </c>
      <c r="G55" s="159">
        <f t="shared" si="6"/>
        <v>0</v>
      </c>
      <c r="H55" s="159">
        <f t="shared" si="7"/>
        <v>0</v>
      </c>
    </row>
    <row r="56" spans="1:8" ht="85.5">
      <c r="A56" s="156">
        <v>5</v>
      </c>
      <c r="B56" s="157" t="s">
        <v>268</v>
      </c>
      <c r="C56" s="163" t="s">
        <v>269</v>
      </c>
      <c r="D56" s="157" t="s">
        <v>270</v>
      </c>
      <c r="E56" s="164">
        <v>0</v>
      </c>
      <c r="F56" s="157">
        <v>2</v>
      </c>
      <c r="G56" s="159">
        <f t="shared" si="6"/>
        <v>0</v>
      </c>
      <c r="H56" s="159">
        <f t="shared" si="7"/>
        <v>0</v>
      </c>
    </row>
    <row r="57" spans="1:8" ht="114">
      <c r="A57" s="156">
        <v>6</v>
      </c>
      <c r="B57" s="157" t="s">
        <v>271</v>
      </c>
      <c r="C57" s="163" t="s">
        <v>285</v>
      </c>
      <c r="D57" s="157" t="s">
        <v>270</v>
      </c>
      <c r="E57" s="164">
        <v>0</v>
      </c>
      <c r="F57" s="157">
        <v>2</v>
      </c>
      <c r="G57" s="159">
        <f t="shared" si="6"/>
        <v>0</v>
      </c>
      <c r="H57" s="159">
        <f t="shared" si="7"/>
        <v>0</v>
      </c>
    </row>
    <row r="58" spans="1:8" ht="57">
      <c r="A58" s="156">
        <v>7</v>
      </c>
      <c r="B58" s="157" t="s">
        <v>272</v>
      </c>
      <c r="C58" s="163" t="s">
        <v>273</v>
      </c>
      <c r="D58" s="157" t="s">
        <v>262</v>
      </c>
      <c r="E58" s="164">
        <v>0</v>
      </c>
      <c r="F58" s="157">
        <v>1</v>
      </c>
      <c r="G58" s="159">
        <f t="shared" si="6"/>
        <v>0</v>
      </c>
      <c r="H58" s="159">
        <f t="shared" si="7"/>
        <v>0</v>
      </c>
    </row>
    <row r="59" spans="1:8" ht="57">
      <c r="A59" s="156">
        <v>8</v>
      </c>
      <c r="B59" s="157" t="s">
        <v>274</v>
      </c>
      <c r="C59" s="163" t="s">
        <v>275</v>
      </c>
      <c r="D59" s="157" t="s">
        <v>270</v>
      </c>
      <c r="E59" s="164">
        <v>0</v>
      </c>
      <c r="F59" s="157">
        <v>6</v>
      </c>
      <c r="G59" s="159">
        <f t="shared" si="6"/>
        <v>0</v>
      </c>
      <c r="H59" s="159">
        <f t="shared" si="7"/>
        <v>0</v>
      </c>
    </row>
    <row r="60" spans="1:8" ht="28.5">
      <c r="A60" s="156">
        <v>9</v>
      </c>
      <c r="B60" s="157" t="s">
        <v>278</v>
      </c>
      <c r="C60" s="163" t="s">
        <v>279</v>
      </c>
      <c r="D60" s="157" t="s">
        <v>262</v>
      </c>
      <c r="E60" s="164">
        <v>0</v>
      </c>
      <c r="F60" s="157">
        <v>4</v>
      </c>
      <c r="G60" s="159">
        <f t="shared" si="6"/>
        <v>0</v>
      </c>
      <c r="H60" s="159">
        <f t="shared" si="7"/>
        <v>0</v>
      </c>
    </row>
    <row r="61" spans="1:8" ht="99.75">
      <c r="A61" s="156">
        <v>10</v>
      </c>
      <c r="B61" s="157" t="s">
        <v>280</v>
      </c>
      <c r="C61" s="163" t="s">
        <v>281</v>
      </c>
      <c r="D61" s="157" t="s">
        <v>262</v>
      </c>
      <c r="E61" s="164">
        <v>0</v>
      </c>
      <c r="F61" s="157">
        <v>12</v>
      </c>
      <c r="G61" s="159">
        <f t="shared" si="6"/>
        <v>0</v>
      </c>
      <c r="H61" s="159">
        <f t="shared" si="7"/>
        <v>0</v>
      </c>
    </row>
    <row r="62" spans="1:8">
      <c r="A62" s="216" t="s">
        <v>204</v>
      </c>
      <c r="B62" s="216"/>
      <c r="C62" s="216"/>
      <c r="D62" s="216"/>
      <c r="E62" s="216"/>
      <c r="F62" s="216"/>
      <c r="G62" s="217">
        <f>TRUNC(SUM(H52:H61),2)</f>
        <v>0</v>
      </c>
      <c r="H62" s="217"/>
    </row>
    <row r="63" spans="1:8">
      <c r="A63" s="160"/>
      <c r="B63" s="161"/>
      <c r="C63" s="160"/>
      <c r="D63" s="162"/>
      <c r="E63" s="160"/>
      <c r="F63" s="160"/>
      <c r="G63" s="160"/>
      <c r="H63" s="160"/>
    </row>
    <row r="64" spans="1:8">
      <c r="A64" s="160"/>
      <c r="B64" s="161"/>
      <c r="C64" s="160"/>
      <c r="D64" s="162"/>
      <c r="E64" s="160"/>
      <c r="F64" s="160"/>
      <c r="G64" s="160"/>
      <c r="H64" s="160"/>
    </row>
    <row r="65" spans="1:8">
      <c r="A65" s="221" t="s">
        <v>250</v>
      </c>
      <c r="B65" s="222"/>
      <c r="C65" s="221"/>
      <c r="D65" s="223"/>
      <c r="E65" s="221"/>
      <c r="F65" s="221"/>
      <c r="G65" s="221"/>
      <c r="H65" s="221"/>
    </row>
    <row r="66" spans="1:8">
      <c r="A66" s="218" t="s">
        <v>316</v>
      </c>
      <c r="B66" s="219"/>
      <c r="C66" s="218"/>
      <c r="D66" s="220"/>
      <c r="E66" s="218"/>
      <c r="F66" s="218"/>
      <c r="G66" s="218"/>
      <c r="H66" s="218"/>
    </row>
    <row r="67" spans="1:8" ht="75">
      <c r="A67" s="151" t="s">
        <v>252</v>
      </c>
      <c r="B67" s="151" t="s">
        <v>253</v>
      </c>
      <c r="C67" s="151" t="s">
        <v>254</v>
      </c>
      <c r="D67" s="151" t="s">
        <v>255</v>
      </c>
      <c r="E67" s="151" t="s">
        <v>256</v>
      </c>
      <c r="F67" s="151" t="s">
        <v>257</v>
      </c>
      <c r="G67" s="151" t="s">
        <v>258</v>
      </c>
      <c r="H67" s="151" t="s">
        <v>259</v>
      </c>
    </row>
    <row r="68" spans="1:8" ht="57.75">
      <c r="A68" s="156">
        <v>1</v>
      </c>
      <c r="B68" s="157" t="s">
        <v>260</v>
      </c>
      <c r="C68" s="158" t="s">
        <v>261</v>
      </c>
      <c r="D68" s="157" t="s">
        <v>262</v>
      </c>
      <c r="E68" s="164">
        <v>0</v>
      </c>
      <c r="F68" s="157">
        <v>4</v>
      </c>
      <c r="G68" s="159">
        <f>TRUNC(F68*E68,2)</f>
        <v>0</v>
      </c>
      <c r="H68" s="159">
        <f>TRUNC(G68/12,2)</f>
        <v>0</v>
      </c>
    </row>
    <row r="69" spans="1:8" ht="57.75">
      <c r="A69" s="156">
        <v>2</v>
      </c>
      <c r="B69" s="157" t="s">
        <v>263</v>
      </c>
      <c r="C69" s="158" t="s">
        <v>264</v>
      </c>
      <c r="D69" s="157" t="s">
        <v>262</v>
      </c>
      <c r="E69" s="164">
        <v>0</v>
      </c>
      <c r="F69" s="157">
        <v>2</v>
      </c>
      <c r="G69" s="159">
        <f t="shared" ref="G69:G79" si="8">TRUNC(F69*E69,2)</f>
        <v>0</v>
      </c>
      <c r="H69" s="159">
        <f t="shared" ref="H69:H79" si="9">TRUNC(G69/12,2)</f>
        <v>0</v>
      </c>
    </row>
    <row r="70" spans="1:8" ht="72">
      <c r="A70" s="156">
        <v>3</v>
      </c>
      <c r="B70" s="157" t="s">
        <v>263</v>
      </c>
      <c r="C70" s="158" t="s">
        <v>265</v>
      </c>
      <c r="D70" s="157" t="s">
        <v>262</v>
      </c>
      <c r="E70" s="164">
        <v>0</v>
      </c>
      <c r="F70" s="157">
        <v>2</v>
      </c>
      <c r="G70" s="159">
        <f t="shared" si="8"/>
        <v>0</v>
      </c>
      <c r="H70" s="159">
        <f t="shared" si="9"/>
        <v>0</v>
      </c>
    </row>
    <row r="71" spans="1:8" ht="43.5">
      <c r="A71" s="156">
        <v>4</v>
      </c>
      <c r="B71" s="157" t="s">
        <v>266</v>
      </c>
      <c r="C71" s="158" t="s">
        <v>267</v>
      </c>
      <c r="D71" s="157" t="s">
        <v>262</v>
      </c>
      <c r="E71" s="164">
        <v>0</v>
      </c>
      <c r="F71" s="157">
        <v>2</v>
      </c>
      <c r="G71" s="159">
        <f t="shared" si="8"/>
        <v>0</v>
      </c>
      <c r="H71" s="159">
        <f t="shared" si="9"/>
        <v>0</v>
      </c>
    </row>
    <row r="72" spans="1:8" ht="86.25">
      <c r="A72" s="156">
        <v>5</v>
      </c>
      <c r="B72" s="157" t="s">
        <v>268</v>
      </c>
      <c r="C72" s="158" t="s">
        <v>269</v>
      </c>
      <c r="D72" s="157" t="s">
        <v>270</v>
      </c>
      <c r="E72" s="164">
        <v>0</v>
      </c>
      <c r="F72" s="157">
        <v>2</v>
      </c>
      <c r="G72" s="159">
        <f t="shared" si="8"/>
        <v>0</v>
      </c>
      <c r="H72" s="159">
        <f t="shared" si="9"/>
        <v>0</v>
      </c>
    </row>
    <row r="73" spans="1:8" ht="72">
      <c r="A73" s="156">
        <v>6</v>
      </c>
      <c r="B73" s="157" t="s">
        <v>271</v>
      </c>
      <c r="C73" s="158" t="s">
        <v>398</v>
      </c>
      <c r="D73" s="157" t="s">
        <v>270</v>
      </c>
      <c r="E73" s="164">
        <v>0</v>
      </c>
      <c r="F73" s="157">
        <v>2</v>
      </c>
      <c r="G73" s="159">
        <f t="shared" si="8"/>
        <v>0</v>
      </c>
      <c r="H73" s="159">
        <f t="shared" si="9"/>
        <v>0</v>
      </c>
    </row>
    <row r="74" spans="1:8" ht="100.5">
      <c r="A74" s="156">
        <v>7</v>
      </c>
      <c r="B74" s="157" t="s">
        <v>271</v>
      </c>
      <c r="C74" s="158" t="s">
        <v>399</v>
      </c>
      <c r="D74" s="157" t="s">
        <v>270</v>
      </c>
      <c r="E74" s="164">
        <v>0</v>
      </c>
      <c r="F74" s="157">
        <v>1</v>
      </c>
      <c r="G74" s="159">
        <f t="shared" si="8"/>
        <v>0</v>
      </c>
      <c r="H74" s="159">
        <f t="shared" si="9"/>
        <v>0</v>
      </c>
    </row>
    <row r="75" spans="1:8" ht="57.75">
      <c r="A75" s="156">
        <v>8</v>
      </c>
      <c r="B75" s="157" t="s">
        <v>272</v>
      </c>
      <c r="C75" s="158" t="s">
        <v>273</v>
      </c>
      <c r="D75" s="157" t="s">
        <v>262</v>
      </c>
      <c r="E75" s="164">
        <v>0</v>
      </c>
      <c r="F75" s="157">
        <v>1</v>
      </c>
      <c r="G75" s="159">
        <f t="shared" si="8"/>
        <v>0</v>
      </c>
      <c r="H75" s="159">
        <f t="shared" si="9"/>
        <v>0</v>
      </c>
    </row>
    <row r="76" spans="1:8" ht="57.75">
      <c r="A76" s="156">
        <v>9</v>
      </c>
      <c r="B76" s="157" t="s">
        <v>274</v>
      </c>
      <c r="C76" s="158" t="s">
        <v>275</v>
      </c>
      <c r="D76" s="157" t="s">
        <v>270</v>
      </c>
      <c r="E76" s="164">
        <v>0</v>
      </c>
      <c r="F76" s="157">
        <v>6</v>
      </c>
      <c r="G76" s="159">
        <f t="shared" si="8"/>
        <v>0</v>
      </c>
      <c r="H76" s="159">
        <f t="shared" si="9"/>
        <v>0</v>
      </c>
    </row>
    <row r="77" spans="1:8" ht="114.75">
      <c r="A77" s="156">
        <v>10</v>
      </c>
      <c r="B77" s="157" t="s">
        <v>276</v>
      </c>
      <c r="C77" s="158" t="s">
        <v>325</v>
      </c>
      <c r="D77" s="157" t="s">
        <v>262</v>
      </c>
      <c r="E77" s="164">
        <v>0</v>
      </c>
      <c r="F77" s="157">
        <v>2</v>
      </c>
      <c r="G77" s="159">
        <f t="shared" si="8"/>
        <v>0</v>
      </c>
      <c r="H77" s="159">
        <f t="shared" si="9"/>
        <v>0</v>
      </c>
    </row>
    <row r="78" spans="1:8" ht="29.25">
      <c r="A78" s="156">
        <v>11</v>
      </c>
      <c r="B78" s="157" t="s">
        <v>278</v>
      </c>
      <c r="C78" s="158" t="s">
        <v>279</v>
      </c>
      <c r="D78" s="157" t="s">
        <v>262</v>
      </c>
      <c r="E78" s="164">
        <v>0</v>
      </c>
      <c r="F78" s="157">
        <v>4</v>
      </c>
      <c r="G78" s="159">
        <f t="shared" si="8"/>
        <v>0</v>
      </c>
      <c r="H78" s="159">
        <f t="shared" si="9"/>
        <v>0</v>
      </c>
    </row>
    <row r="79" spans="1:8" ht="100.5">
      <c r="A79" s="156">
        <v>12</v>
      </c>
      <c r="B79" s="156" t="s">
        <v>280</v>
      </c>
      <c r="C79" s="158" t="s">
        <v>281</v>
      </c>
      <c r="D79" s="157" t="s">
        <v>262</v>
      </c>
      <c r="E79" s="164">
        <v>0</v>
      </c>
      <c r="F79" s="157">
        <v>12</v>
      </c>
      <c r="G79" s="159">
        <f t="shared" si="8"/>
        <v>0</v>
      </c>
      <c r="H79" s="159">
        <f t="shared" si="9"/>
        <v>0</v>
      </c>
    </row>
    <row r="80" spans="1:8">
      <c r="A80" s="216" t="s">
        <v>204</v>
      </c>
      <c r="B80" s="216"/>
      <c r="C80" s="216"/>
      <c r="D80" s="216"/>
      <c r="E80" s="216"/>
      <c r="F80" s="216"/>
      <c r="G80" s="217">
        <f>TRUNC(SUM(H68:H79),2)</f>
        <v>0</v>
      </c>
      <c r="H80" s="217"/>
    </row>
    <row r="81" spans="1:8">
      <c r="A81" s="160"/>
      <c r="B81" s="161"/>
      <c r="C81" s="160"/>
      <c r="D81" s="162"/>
      <c r="E81" s="160"/>
      <c r="F81" s="160"/>
      <c r="G81" s="160"/>
      <c r="H81" s="160"/>
    </row>
    <row r="82" spans="1:8">
      <c r="A82" s="160"/>
      <c r="B82" s="161"/>
      <c r="C82" s="160"/>
      <c r="D82" s="162"/>
      <c r="E82" s="160"/>
      <c r="F82" s="160"/>
      <c r="G82" s="160"/>
      <c r="H82" s="160"/>
    </row>
    <row r="83" spans="1:8">
      <c r="A83" s="221" t="s">
        <v>250</v>
      </c>
      <c r="B83" s="222"/>
      <c r="C83" s="221"/>
      <c r="D83" s="223"/>
      <c r="E83" s="221"/>
      <c r="F83" s="221"/>
      <c r="G83" s="221"/>
      <c r="H83" s="221"/>
    </row>
    <row r="84" spans="1:8">
      <c r="A84" s="218" t="s">
        <v>288</v>
      </c>
      <c r="B84" s="219"/>
      <c r="C84" s="218"/>
      <c r="D84" s="220"/>
      <c r="E84" s="218"/>
      <c r="F84" s="218"/>
      <c r="G84" s="218"/>
      <c r="H84" s="218"/>
    </row>
    <row r="85" spans="1:8" ht="75">
      <c r="A85" s="151" t="s">
        <v>252</v>
      </c>
      <c r="B85" s="151" t="s">
        <v>253</v>
      </c>
      <c r="C85" s="151" t="s">
        <v>254</v>
      </c>
      <c r="D85" s="151" t="s">
        <v>255</v>
      </c>
      <c r="E85" s="151" t="s">
        <v>256</v>
      </c>
      <c r="F85" s="151" t="s">
        <v>257</v>
      </c>
      <c r="G85" s="151" t="s">
        <v>258</v>
      </c>
      <c r="H85" s="151" t="s">
        <v>259</v>
      </c>
    </row>
    <row r="86" spans="1:8" ht="57">
      <c r="A86" s="156">
        <v>1</v>
      </c>
      <c r="B86" s="157" t="s">
        <v>260</v>
      </c>
      <c r="C86" s="163" t="s">
        <v>261</v>
      </c>
      <c r="D86" s="157" t="s">
        <v>262</v>
      </c>
      <c r="E86" s="164">
        <v>0</v>
      </c>
      <c r="F86" s="157">
        <v>4</v>
      </c>
      <c r="G86" s="159">
        <f>TRUNC(F86*E86,2)</f>
        <v>0</v>
      </c>
      <c r="H86" s="159">
        <f>TRUNC(G86/12,2)</f>
        <v>0</v>
      </c>
    </row>
    <row r="87" spans="1:8" ht="57">
      <c r="A87" s="156">
        <v>2</v>
      </c>
      <c r="B87" s="157" t="s">
        <v>263</v>
      </c>
      <c r="C87" s="163" t="s">
        <v>264</v>
      </c>
      <c r="D87" s="157" t="s">
        <v>262</v>
      </c>
      <c r="E87" s="164">
        <v>0</v>
      </c>
      <c r="F87" s="157">
        <v>2</v>
      </c>
      <c r="G87" s="159">
        <f t="shared" ref="G87:G96" si="10">TRUNC(F87*E87,2)</f>
        <v>0</v>
      </c>
      <c r="H87" s="159">
        <f t="shared" ref="H87:H96" si="11">TRUNC(G87/12,2)</f>
        <v>0</v>
      </c>
    </row>
    <row r="88" spans="1:8" ht="71.25">
      <c r="A88" s="156">
        <v>3</v>
      </c>
      <c r="B88" s="157" t="s">
        <v>263</v>
      </c>
      <c r="C88" s="163" t="s">
        <v>265</v>
      </c>
      <c r="D88" s="157" t="s">
        <v>262</v>
      </c>
      <c r="E88" s="164">
        <v>0</v>
      </c>
      <c r="F88" s="157">
        <v>2</v>
      </c>
      <c r="G88" s="159">
        <f t="shared" si="10"/>
        <v>0</v>
      </c>
      <c r="H88" s="159">
        <f t="shared" si="11"/>
        <v>0</v>
      </c>
    </row>
    <row r="89" spans="1:8" ht="42.75">
      <c r="A89" s="156">
        <v>4</v>
      </c>
      <c r="B89" s="157" t="s">
        <v>266</v>
      </c>
      <c r="C89" s="163" t="s">
        <v>267</v>
      </c>
      <c r="D89" s="157" t="s">
        <v>262</v>
      </c>
      <c r="E89" s="164">
        <v>0</v>
      </c>
      <c r="F89" s="157">
        <v>2</v>
      </c>
      <c r="G89" s="159">
        <f t="shared" si="10"/>
        <v>0</v>
      </c>
      <c r="H89" s="159">
        <f t="shared" si="11"/>
        <v>0</v>
      </c>
    </row>
    <row r="90" spans="1:8" ht="85.5">
      <c r="A90" s="156">
        <v>5</v>
      </c>
      <c r="B90" s="157" t="s">
        <v>268</v>
      </c>
      <c r="C90" s="163" t="s">
        <v>269</v>
      </c>
      <c r="D90" s="157" t="s">
        <v>270</v>
      </c>
      <c r="E90" s="164">
        <v>0</v>
      </c>
      <c r="F90" s="157">
        <v>2</v>
      </c>
      <c r="G90" s="159">
        <f t="shared" si="10"/>
        <v>0</v>
      </c>
      <c r="H90" s="159">
        <f t="shared" si="11"/>
        <v>0</v>
      </c>
    </row>
    <row r="91" spans="1:8" ht="71.25">
      <c r="A91" s="156">
        <v>6</v>
      </c>
      <c r="B91" s="157" t="s">
        <v>271</v>
      </c>
      <c r="C91" s="163" t="s">
        <v>398</v>
      </c>
      <c r="D91" s="157" t="s">
        <v>270</v>
      </c>
      <c r="E91" s="164">
        <v>0</v>
      </c>
      <c r="F91" s="157">
        <v>2</v>
      </c>
      <c r="G91" s="159">
        <f t="shared" si="10"/>
        <v>0</v>
      </c>
      <c r="H91" s="159">
        <f t="shared" si="11"/>
        <v>0</v>
      </c>
    </row>
    <row r="92" spans="1:8" ht="99.75">
      <c r="A92" s="156">
        <v>7</v>
      </c>
      <c r="B92" s="157" t="s">
        <v>271</v>
      </c>
      <c r="C92" s="163" t="s">
        <v>399</v>
      </c>
      <c r="D92" s="157" t="s">
        <v>270</v>
      </c>
      <c r="E92" s="164">
        <v>0</v>
      </c>
      <c r="F92" s="157">
        <v>1</v>
      </c>
      <c r="G92" s="159">
        <f t="shared" si="10"/>
        <v>0</v>
      </c>
      <c r="H92" s="159">
        <f t="shared" si="11"/>
        <v>0</v>
      </c>
    </row>
    <row r="93" spans="1:8" ht="57">
      <c r="A93" s="156">
        <v>8</v>
      </c>
      <c r="B93" s="157" t="s">
        <v>272</v>
      </c>
      <c r="C93" s="163" t="s">
        <v>273</v>
      </c>
      <c r="D93" s="157" t="s">
        <v>262</v>
      </c>
      <c r="E93" s="164">
        <v>0</v>
      </c>
      <c r="F93" s="157">
        <v>1</v>
      </c>
      <c r="G93" s="159">
        <f t="shared" si="10"/>
        <v>0</v>
      </c>
      <c r="H93" s="159">
        <f t="shared" si="11"/>
        <v>0</v>
      </c>
    </row>
    <row r="94" spans="1:8" ht="57">
      <c r="A94" s="156">
        <v>9</v>
      </c>
      <c r="B94" s="157" t="s">
        <v>274</v>
      </c>
      <c r="C94" s="163" t="s">
        <v>275</v>
      </c>
      <c r="D94" s="157" t="s">
        <v>270</v>
      </c>
      <c r="E94" s="164">
        <v>0</v>
      </c>
      <c r="F94" s="157">
        <v>4</v>
      </c>
      <c r="G94" s="159">
        <f t="shared" si="10"/>
        <v>0</v>
      </c>
      <c r="H94" s="159">
        <f t="shared" si="11"/>
        <v>0</v>
      </c>
    </row>
    <row r="95" spans="1:8" ht="71.25">
      <c r="A95" s="156">
        <v>10</v>
      </c>
      <c r="B95" s="157" t="s">
        <v>289</v>
      </c>
      <c r="C95" s="163" t="s">
        <v>290</v>
      </c>
      <c r="D95" s="157" t="s">
        <v>262</v>
      </c>
      <c r="E95" s="164">
        <v>0</v>
      </c>
      <c r="F95" s="157">
        <v>1</v>
      </c>
      <c r="G95" s="159">
        <f t="shared" si="10"/>
        <v>0</v>
      </c>
      <c r="H95" s="159">
        <f t="shared" si="11"/>
        <v>0</v>
      </c>
    </row>
    <row r="96" spans="1:8" ht="28.5">
      <c r="A96" s="156">
        <v>11</v>
      </c>
      <c r="B96" s="157" t="s">
        <v>278</v>
      </c>
      <c r="C96" s="163" t="s">
        <v>279</v>
      </c>
      <c r="D96" s="157" t="s">
        <v>262</v>
      </c>
      <c r="E96" s="164">
        <v>0</v>
      </c>
      <c r="F96" s="157">
        <v>4</v>
      </c>
      <c r="G96" s="159">
        <f t="shared" si="10"/>
        <v>0</v>
      </c>
      <c r="H96" s="159">
        <f t="shared" si="11"/>
        <v>0</v>
      </c>
    </row>
    <row r="97" spans="1:8">
      <c r="A97" s="216" t="s">
        <v>204</v>
      </c>
      <c r="B97" s="216"/>
      <c r="C97" s="216"/>
      <c r="D97" s="216"/>
      <c r="E97" s="216"/>
      <c r="F97" s="216"/>
      <c r="G97" s="217">
        <f>TRUNC(SUM(H86:H96),2)</f>
        <v>0</v>
      </c>
      <c r="H97" s="217"/>
    </row>
    <row r="98" spans="1:8">
      <c r="A98" s="160"/>
      <c r="B98" s="161"/>
      <c r="C98" s="160"/>
      <c r="D98" s="162"/>
      <c r="E98" s="160"/>
      <c r="F98" s="160"/>
      <c r="G98" s="160"/>
      <c r="H98" s="160"/>
    </row>
    <row r="99" spans="1:8">
      <c r="A99" s="160"/>
      <c r="B99" s="161"/>
      <c r="C99" s="160"/>
      <c r="D99" s="162"/>
      <c r="E99" s="160"/>
      <c r="F99" s="160"/>
      <c r="G99" s="160"/>
      <c r="H99" s="160"/>
    </row>
    <row r="100" spans="1:8">
      <c r="A100" s="221" t="s">
        <v>250</v>
      </c>
      <c r="B100" s="222"/>
      <c r="C100" s="221"/>
      <c r="D100" s="223"/>
      <c r="E100" s="221"/>
      <c r="F100" s="221"/>
      <c r="G100" s="221"/>
      <c r="H100" s="221"/>
    </row>
    <row r="101" spans="1:8">
      <c r="A101" s="218" t="s">
        <v>317</v>
      </c>
      <c r="B101" s="219"/>
      <c r="C101" s="218"/>
      <c r="D101" s="220"/>
      <c r="E101" s="218"/>
      <c r="F101" s="218"/>
      <c r="G101" s="218"/>
      <c r="H101" s="218"/>
    </row>
    <row r="102" spans="1:8" ht="75">
      <c r="A102" s="151" t="s">
        <v>252</v>
      </c>
      <c r="B102" s="151" t="s">
        <v>253</v>
      </c>
      <c r="C102" s="151" t="s">
        <v>254</v>
      </c>
      <c r="D102" s="151" t="s">
        <v>255</v>
      </c>
      <c r="E102" s="151" t="s">
        <v>256</v>
      </c>
      <c r="F102" s="151" t="s">
        <v>257</v>
      </c>
      <c r="G102" s="151" t="s">
        <v>258</v>
      </c>
      <c r="H102" s="151" t="s">
        <v>259</v>
      </c>
    </row>
    <row r="103" spans="1:8" ht="28.5">
      <c r="A103" s="156">
        <v>1</v>
      </c>
      <c r="B103" s="157" t="s">
        <v>260</v>
      </c>
      <c r="C103" s="163" t="s">
        <v>318</v>
      </c>
      <c r="D103" s="157" t="s">
        <v>262</v>
      </c>
      <c r="E103" s="164">
        <v>0</v>
      </c>
      <c r="F103" s="157">
        <v>4</v>
      </c>
      <c r="G103" s="159">
        <f>TRUNC(F103*E103,2)</f>
        <v>0</v>
      </c>
      <c r="H103" s="159">
        <f>TRUNC(G103/12,2)</f>
        <v>0</v>
      </c>
    </row>
    <row r="104" spans="1:8" ht="28.5">
      <c r="A104" s="156">
        <v>2</v>
      </c>
      <c r="B104" s="157" t="s">
        <v>263</v>
      </c>
      <c r="C104" s="163" t="s">
        <v>411</v>
      </c>
      <c r="D104" s="157" t="s">
        <v>262</v>
      </c>
      <c r="E104" s="164">
        <v>0</v>
      </c>
      <c r="F104" s="157">
        <v>4</v>
      </c>
      <c r="G104" s="159">
        <f t="shared" ref="G104:G109" si="12">TRUNC(F104*E104,2)</f>
        <v>0</v>
      </c>
      <c r="H104" s="159">
        <f t="shared" ref="H104:H109" si="13">TRUNC(G104/12,2)</f>
        <v>0</v>
      </c>
    </row>
    <row r="105" spans="1:8" ht="71.25">
      <c r="A105" s="156">
        <v>3</v>
      </c>
      <c r="B105" s="157" t="s">
        <v>271</v>
      </c>
      <c r="C105" s="163" t="s">
        <v>413</v>
      </c>
      <c r="D105" s="157" t="s">
        <v>270</v>
      </c>
      <c r="E105" s="164">
        <v>0</v>
      </c>
      <c r="F105" s="157">
        <v>2</v>
      </c>
      <c r="G105" s="159">
        <f t="shared" si="12"/>
        <v>0</v>
      </c>
      <c r="H105" s="159">
        <f t="shared" si="13"/>
        <v>0</v>
      </c>
    </row>
    <row r="106" spans="1:8">
      <c r="A106" s="156">
        <v>4</v>
      </c>
      <c r="B106" s="157" t="s">
        <v>271</v>
      </c>
      <c r="C106" s="163" t="s">
        <v>320</v>
      </c>
      <c r="D106" s="157" t="s">
        <v>270</v>
      </c>
      <c r="E106" s="164">
        <v>0</v>
      </c>
      <c r="F106" s="157">
        <v>1</v>
      </c>
      <c r="G106" s="159">
        <f t="shared" si="12"/>
        <v>0</v>
      </c>
      <c r="H106" s="159">
        <f t="shared" si="13"/>
        <v>0</v>
      </c>
    </row>
    <row r="107" spans="1:8" ht="57">
      <c r="A107" s="156">
        <v>5</v>
      </c>
      <c r="B107" s="157" t="s">
        <v>272</v>
      </c>
      <c r="C107" s="163" t="s">
        <v>412</v>
      </c>
      <c r="D107" s="157" t="s">
        <v>262</v>
      </c>
      <c r="E107" s="164">
        <v>0</v>
      </c>
      <c r="F107" s="157">
        <v>1</v>
      </c>
      <c r="G107" s="159">
        <f t="shared" si="12"/>
        <v>0</v>
      </c>
      <c r="H107" s="159">
        <f t="shared" si="13"/>
        <v>0</v>
      </c>
    </row>
    <row r="108" spans="1:8" ht="42.75">
      <c r="A108" s="156">
        <v>6</v>
      </c>
      <c r="B108" s="157" t="s">
        <v>274</v>
      </c>
      <c r="C108" s="163" t="s">
        <v>321</v>
      </c>
      <c r="D108" s="157" t="s">
        <v>270</v>
      </c>
      <c r="E108" s="164">
        <v>0</v>
      </c>
      <c r="F108" s="157">
        <v>2</v>
      </c>
      <c r="G108" s="159">
        <f t="shared" si="12"/>
        <v>0</v>
      </c>
      <c r="H108" s="159">
        <f t="shared" si="13"/>
        <v>0</v>
      </c>
    </row>
    <row r="109" spans="1:8">
      <c r="A109" s="156">
        <v>7</v>
      </c>
      <c r="B109" s="157" t="s">
        <v>323</v>
      </c>
      <c r="C109" s="163" t="s">
        <v>322</v>
      </c>
      <c r="D109" s="157" t="s">
        <v>262</v>
      </c>
      <c r="E109" s="164">
        <v>0</v>
      </c>
      <c r="F109" s="157">
        <v>4</v>
      </c>
      <c r="G109" s="159">
        <f t="shared" si="12"/>
        <v>0</v>
      </c>
      <c r="H109" s="159">
        <f t="shared" si="13"/>
        <v>0</v>
      </c>
    </row>
    <row r="110" spans="1:8">
      <c r="A110" s="216" t="s">
        <v>204</v>
      </c>
      <c r="B110" s="216"/>
      <c r="C110" s="216"/>
      <c r="D110" s="216"/>
      <c r="E110" s="216"/>
      <c r="F110" s="216"/>
      <c r="G110" s="217">
        <f>TRUNC(SUM(H103:H109),2)</f>
        <v>0</v>
      </c>
      <c r="H110" s="217"/>
    </row>
    <row r="111" spans="1:8">
      <c r="A111" s="160"/>
      <c r="B111" s="161"/>
      <c r="C111" s="160"/>
      <c r="D111" s="162"/>
      <c r="E111" s="160"/>
      <c r="F111" s="160"/>
      <c r="G111" s="160"/>
      <c r="H111" s="160"/>
    </row>
    <row r="112" spans="1:8">
      <c r="A112" s="221" t="s">
        <v>250</v>
      </c>
      <c r="B112" s="222"/>
      <c r="C112" s="221"/>
      <c r="D112" s="223"/>
      <c r="E112" s="221"/>
      <c r="F112" s="221"/>
      <c r="G112" s="221"/>
      <c r="H112" s="221"/>
    </row>
    <row r="113" spans="1:8">
      <c r="A113" s="218" t="s">
        <v>324</v>
      </c>
      <c r="B113" s="219"/>
      <c r="C113" s="218"/>
      <c r="D113" s="220"/>
      <c r="E113" s="218"/>
      <c r="F113" s="218"/>
      <c r="G113" s="218"/>
      <c r="H113" s="218"/>
    </row>
    <row r="114" spans="1:8" ht="75">
      <c r="A114" s="151" t="s">
        <v>252</v>
      </c>
      <c r="B114" s="151" t="s">
        <v>253</v>
      </c>
      <c r="C114" s="151" t="s">
        <v>254</v>
      </c>
      <c r="D114" s="151" t="s">
        <v>255</v>
      </c>
      <c r="E114" s="151" t="s">
        <v>256</v>
      </c>
      <c r="F114" s="151" t="s">
        <v>257</v>
      </c>
      <c r="G114" s="151" t="s">
        <v>258</v>
      </c>
      <c r="H114" s="151" t="s">
        <v>259</v>
      </c>
    </row>
    <row r="115" spans="1:8" ht="28.5">
      <c r="A115" s="156">
        <v>1</v>
      </c>
      <c r="B115" s="157" t="s">
        <v>260</v>
      </c>
      <c r="C115" s="163" t="s">
        <v>318</v>
      </c>
      <c r="D115" s="157" t="s">
        <v>262</v>
      </c>
      <c r="E115" s="164">
        <v>0</v>
      </c>
      <c r="F115" s="157">
        <v>4</v>
      </c>
      <c r="G115" s="159">
        <f>TRUNC(F115*E115,2)</f>
        <v>0</v>
      </c>
      <c r="H115" s="159">
        <f>TRUNC(G115/12,2)</f>
        <v>0</v>
      </c>
    </row>
    <row r="116" spans="1:8" ht="28.5">
      <c r="A116" s="156">
        <v>2</v>
      </c>
      <c r="B116" s="157" t="s">
        <v>263</v>
      </c>
      <c r="C116" s="163" t="s">
        <v>319</v>
      </c>
      <c r="D116" s="157" t="s">
        <v>262</v>
      </c>
      <c r="E116" s="164">
        <v>0</v>
      </c>
      <c r="F116" s="157">
        <v>4</v>
      </c>
      <c r="G116" s="159">
        <f t="shared" ref="G116:G121" si="14">TRUNC(F116*E116,2)</f>
        <v>0</v>
      </c>
      <c r="H116" s="159">
        <f t="shared" ref="H116:H121" si="15">TRUNC(G116/12,2)</f>
        <v>0</v>
      </c>
    </row>
    <row r="117" spans="1:8" ht="71.25">
      <c r="A117" s="156">
        <v>3</v>
      </c>
      <c r="B117" s="157" t="s">
        <v>271</v>
      </c>
      <c r="C117" s="163" t="s">
        <v>413</v>
      </c>
      <c r="D117" s="157" t="s">
        <v>270</v>
      </c>
      <c r="E117" s="164">
        <v>0</v>
      </c>
      <c r="F117" s="157">
        <v>2</v>
      </c>
      <c r="G117" s="159">
        <f t="shared" si="14"/>
        <v>0</v>
      </c>
      <c r="H117" s="159">
        <f t="shared" si="15"/>
        <v>0</v>
      </c>
    </row>
    <row r="118" spans="1:8">
      <c r="A118" s="156">
        <v>4</v>
      </c>
      <c r="B118" s="157" t="s">
        <v>271</v>
      </c>
      <c r="C118" s="163" t="s">
        <v>320</v>
      </c>
      <c r="D118" s="157" t="s">
        <v>270</v>
      </c>
      <c r="E118" s="164">
        <v>0</v>
      </c>
      <c r="F118" s="157">
        <v>1</v>
      </c>
      <c r="G118" s="159">
        <f t="shared" si="14"/>
        <v>0</v>
      </c>
      <c r="H118" s="159">
        <f t="shared" si="15"/>
        <v>0</v>
      </c>
    </row>
    <row r="119" spans="1:8" ht="57">
      <c r="A119" s="156">
        <v>5</v>
      </c>
      <c r="B119" s="157" t="s">
        <v>272</v>
      </c>
      <c r="C119" s="163" t="s">
        <v>273</v>
      </c>
      <c r="D119" s="157" t="s">
        <v>262</v>
      </c>
      <c r="E119" s="164">
        <v>0</v>
      </c>
      <c r="F119" s="157">
        <v>1</v>
      </c>
      <c r="G119" s="159">
        <f t="shared" si="14"/>
        <v>0</v>
      </c>
      <c r="H119" s="159">
        <f t="shared" si="15"/>
        <v>0</v>
      </c>
    </row>
    <row r="120" spans="1:8" ht="42.75">
      <c r="A120" s="156">
        <v>6</v>
      </c>
      <c r="B120" s="157" t="s">
        <v>274</v>
      </c>
      <c r="C120" s="163" t="s">
        <v>321</v>
      </c>
      <c r="D120" s="157" t="s">
        <v>270</v>
      </c>
      <c r="E120" s="164">
        <v>0</v>
      </c>
      <c r="F120" s="157">
        <v>2</v>
      </c>
      <c r="G120" s="159">
        <f t="shared" si="14"/>
        <v>0</v>
      </c>
      <c r="H120" s="159">
        <f t="shared" si="15"/>
        <v>0</v>
      </c>
    </row>
    <row r="121" spans="1:8">
      <c r="A121" s="156">
        <v>7</v>
      </c>
      <c r="B121" s="157" t="s">
        <v>323</v>
      </c>
      <c r="C121" s="163" t="s">
        <v>322</v>
      </c>
      <c r="D121" s="157" t="s">
        <v>262</v>
      </c>
      <c r="E121" s="164">
        <v>0</v>
      </c>
      <c r="F121" s="157">
        <v>4</v>
      </c>
      <c r="G121" s="159">
        <f t="shared" si="14"/>
        <v>0</v>
      </c>
      <c r="H121" s="159">
        <f t="shared" si="15"/>
        <v>0</v>
      </c>
    </row>
    <row r="122" spans="1:8">
      <c r="A122" s="216" t="s">
        <v>204</v>
      </c>
      <c r="B122" s="216"/>
      <c r="C122" s="216"/>
      <c r="D122" s="216"/>
      <c r="E122" s="216"/>
      <c r="F122" s="216"/>
      <c r="G122" s="217">
        <f>TRUNC(SUM(H115:H121),2)</f>
        <v>0</v>
      </c>
      <c r="H122" s="217"/>
    </row>
    <row r="123" spans="1:8">
      <c r="A123" s="160"/>
      <c r="B123" s="161"/>
      <c r="C123" s="160"/>
      <c r="D123" s="162"/>
      <c r="E123" s="160"/>
      <c r="F123" s="160"/>
      <c r="G123" s="160"/>
      <c r="H123" s="160"/>
    </row>
    <row r="124" spans="1:8">
      <c r="A124" s="160"/>
      <c r="B124" s="161"/>
      <c r="C124" s="160"/>
      <c r="D124" s="162"/>
      <c r="E124" s="160"/>
      <c r="F124" s="160"/>
      <c r="G124" s="160"/>
      <c r="H124" s="160"/>
    </row>
    <row r="125" spans="1:8">
      <c r="A125" s="226" t="s">
        <v>250</v>
      </c>
      <c r="B125" s="227"/>
      <c r="C125" s="226"/>
      <c r="D125" s="228"/>
      <c r="E125" s="226"/>
      <c r="F125" s="226"/>
      <c r="G125" s="226"/>
      <c r="H125" s="226"/>
    </row>
    <row r="126" spans="1:8">
      <c r="A126" s="218" t="s">
        <v>326</v>
      </c>
      <c r="B126" s="219"/>
      <c r="C126" s="218"/>
      <c r="D126" s="220"/>
      <c r="E126" s="218"/>
      <c r="F126" s="218"/>
      <c r="G126" s="218"/>
      <c r="H126" s="218"/>
    </row>
    <row r="127" spans="1:8" ht="75">
      <c r="A127" s="151" t="s">
        <v>252</v>
      </c>
      <c r="B127" s="151" t="s">
        <v>253</v>
      </c>
      <c r="C127" s="151" t="s">
        <v>254</v>
      </c>
      <c r="D127" s="151" t="s">
        <v>255</v>
      </c>
      <c r="E127" s="151" t="s">
        <v>256</v>
      </c>
      <c r="F127" s="151" t="s">
        <v>257</v>
      </c>
      <c r="G127" s="151" t="s">
        <v>258</v>
      </c>
      <c r="H127" s="151" t="s">
        <v>259</v>
      </c>
    </row>
    <row r="128" spans="1:8" ht="57.75">
      <c r="A128" s="156">
        <v>1</v>
      </c>
      <c r="B128" s="157" t="s">
        <v>331</v>
      </c>
      <c r="C128" s="158" t="s">
        <v>327</v>
      </c>
      <c r="D128" s="157" t="s">
        <v>262</v>
      </c>
      <c r="E128" s="164">
        <v>0</v>
      </c>
      <c r="F128" s="157">
        <v>4</v>
      </c>
      <c r="G128" s="159">
        <f>TRUNC(F128*E128,2)</f>
        <v>0</v>
      </c>
      <c r="H128" s="159">
        <f>TRUNC(G128/12,2)</f>
        <v>0</v>
      </c>
    </row>
    <row r="129" spans="1:8" ht="100.5">
      <c r="A129" s="156">
        <v>2</v>
      </c>
      <c r="B129" s="157" t="s">
        <v>330</v>
      </c>
      <c r="C129" s="158" t="s">
        <v>408</v>
      </c>
      <c r="D129" s="157" t="s">
        <v>262</v>
      </c>
      <c r="E129" s="164">
        <v>0</v>
      </c>
      <c r="F129" s="157">
        <v>2</v>
      </c>
      <c r="G129" s="159">
        <f t="shared" ref="G129:G133" si="16">TRUNC(F129*E129,2)</f>
        <v>0</v>
      </c>
      <c r="H129" s="159">
        <f t="shared" ref="H129:H133" si="17">TRUNC(G129/12,2)</f>
        <v>0</v>
      </c>
    </row>
    <row r="130" spans="1:8" ht="165.75" customHeight="1">
      <c r="A130" s="156">
        <v>3</v>
      </c>
      <c r="B130" s="157" t="s">
        <v>263</v>
      </c>
      <c r="C130" s="158" t="s">
        <v>409</v>
      </c>
      <c r="D130" s="157" t="s">
        <v>262</v>
      </c>
      <c r="E130" s="164">
        <v>0</v>
      </c>
      <c r="F130" s="157">
        <v>2</v>
      </c>
      <c r="G130" s="159">
        <f t="shared" si="16"/>
        <v>0</v>
      </c>
      <c r="H130" s="159">
        <f t="shared" si="17"/>
        <v>0</v>
      </c>
    </row>
    <row r="131" spans="1:8">
      <c r="A131" s="156">
        <v>4</v>
      </c>
      <c r="B131" s="157" t="s">
        <v>271</v>
      </c>
      <c r="C131" s="158" t="s">
        <v>328</v>
      </c>
      <c r="D131" s="157" t="s">
        <v>270</v>
      </c>
      <c r="E131" s="164">
        <v>0</v>
      </c>
      <c r="F131" s="157">
        <v>2</v>
      </c>
      <c r="G131" s="159">
        <f t="shared" si="16"/>
        <v>0</v>
      </c>
      <c r="H131" s="159">
        <f t="shared" si="17"/>
        <v>0</v>
      </c>
    </row>
    <row r="132" spans="1:8" ht="57.75">
      <c r="A132" s="156">
        <v>5</v>
      </c>
      <c r="B132" s="157" t="s">
        <v>272</v>
      </c>
      <c r="C132" s="158" t="s">
        <v>273</v>
      </c>
      <c r="D132" s="157" t="s">
        <v>262</v>
      </c>
      <c r="E132" s="164">
        <v>0</v>
      </c>
      <c r="F132" s="157">
        <v>1</v>
      </c>
      <c r="G132" s="159">
        <f t="shared" si="16"/>
        <v>0</v>
      </c>
      <c r="H132" s="159">
        <f t="shared" si="17"/>
        <v>0</v>
      </c>
    </row>
    <row r="133" spans="1:8" ht="100.5">
      <c r="A133" s="156">
        <v>6</v>
      </c>
      <c r="B133" s="156" t="s">
        <v>280</v>
      </c>
      <c r="C133" s="158" t="s">
        <v>281</v>
      </c>
      <c r="D133" s="157" t="s">
        <v>262</v>
      </c>
      <c r="E133" s="164">
        <v>0</v>
      </c>
      <c r="F133" s="157">
        <v>12</v>
      </c>
      <c r="G133" s="159">
        <f t="shared" si="16"/>
        <v>0</v>
      </c>
      <c r="H133" s="159">
        <f t="shared" si="17"/>
        <v>0</v>
      </c>
    </row>
    <row r="134" spans="1:8">
      <c r="A134" s="216" t="s">
        <v>204</v>
      </c>
      <c r="B134" s="216"/>
      <c r="C134" s="216"/>
      <c r="D134" s="216"/>
      <c r="E134" s="216"/>
      <c r="F134" s="216"/>
      <c r="G134" s="217">
        <f>TRUNC(SUM(H128:H133),2)</f>
        <v>0</v>
      </c>
      <c r="H134" s="217"/>
    </row>
    <row r="135" spans="1:8">
      <c r="A135" s="160"/>
      <c r="B135" s="161"/>
      <c r="C135" s="160"/>
      <c r="D135" s="162"/>
      <c r="E135" s="160"/>
      <c r="F135" s="160"/>
      <c r="G135" s="160"/>
      <c r="H135" s="160"/>
    </row>
    <row r="136" spans="1:8">
      <c r="A136" s="160"/>
      <c r="B136" s="161"/>
      <c r="C136" s="160"/>
      <c r="D136" s="162"/>
      <c r="E136" s="160"/>
      <c r="F136" s="160"/>
      <c r="G136" s="160"/>
      <c r="H136" s="160"/>
    </row>
    <row r="137" spans="1:8">
      <c r="A137" s="221" t="s">
        <v>250</v>
      </c>
      <c r="B137" s="222"/>
      <c r="C137" s="221"/>
      <c r="D137" s="223"/>
      <c r="E137" s="221"/>
      <c r="F137" s="221"/>
      <c r="G137" s="221"/>
      <c r="H137" s="221"/>
    </row>
    <row r="138" spans="1:8">
      <c r="A138" s="218" t="s">
        <v>329</v>
      </c>
      <c r="B138" s="219"/>
      <c r="C138" s="218"/>
      <c r="D138" s="220"/>
      <c r="E138" s="218"/>
      <c r="F138" s="218"/>
      <c r="G138" s="218"/>
      <c r="H138" s="218"/>
    </row>
    <row r="139" spans="1:8" ht="75">
      <c r="A139" s="151" t="s">
        <v>252</v>
      </c>
      <c r="B139" s="151" t="s">
        <v>253</v>
      </c>
      <c r="C139" s="151" t="s">
        <v>254</v>
      </c>
      <c r="D139" s="151" t="s">
        <v>255</v>
      </c>
      <c r="E139" s="151" t="s">
        <v>256</v>
      </c>
      <c r="F139" s="151" t="s">
        <v>257</v>
      </c>
      <c r="G139" s="151" t="s">
        <v>258</v>
      </c>
      <c r="H139" s="151" t="s">
        <v>259</v>
      </c>
    </row>
    <row r="140" spans="1:8" ht="57.75">
      <c r="A140" s="156">
        <v>1</v>
      </c>
      <c r="B140" s="157" t="s">
        <v>331</v>
      </c>
      <c r="C140" s="158" t="s">
        <v>327</v>
      </c>
      <c r="D140" s="157" t="s">
        <v>262</v>
      </c>
      <c r="E140" s="164">
        <v>0</v>
      </c>
      <c r="F140" s="157">
        <v>4</v>
      </c>
      <c r="G140" s="159">
        <f>TRUNC(F140*E140,2)</f>
        <v>0</v>
      </c>
      <c r="H140" s="159">
        <f>TRUNC(G140/12,2)</f>
        <v>0</v>
      </c>
    </row>
    <row r="141" spans="1:8" ht="100.5">
      <c r="A141" s="167">
        <v>2</v>
      </c>
      <c r="B141" s="157" t="s">
        <v>330</v>
      </c>
      <c r="C141" s="158" t="s">
        <v>407</v>
      </c>
      <c r="D141" s="157" t="s">
        <v>262</v>
      </c>
      <c r="E141" s="164">
        <v>0</v>
      </c>
      <c r="F141" s="157">
        <v>2</v>
      </c>
      <c r="G141" s="159">
        <f>TRUNC(F141*E141,2)</f>
        <v>0</v>
      </c>
      <c r="H141" s="159">
        <f>TRUNC(G141/12,2)</f>
        <v>0</v>
      </c>
    </row>
    <row r="142" spans="1:8" ht="100.5">
      <c r="A142" s="156">
        <v>3</v>
      </c>
      <c r="B142" s="157" t="s">
        <v>330</v>
      </c>
      <c r="C142" s="158" t="s">
        <v>408</v>
      </c>
      <c r="D142" s="157" t="s">
        <v>262</v>
      </c>
      <c r="E142" s="164">
        <v>0</v>
      </c>
      <c r="F142" s="157">
        <v>2</v>
      </c>
      <c r="G142" s="159">
        <f t="shared" ref="G142:G146" si="18">TRUNC(F142*E142,2)</f>
        <v>0</v>
      </c>
      <c r="H142" s="159">
        <f t="shared" ref="H142:H146" si="19">TRUNC(G142/12,2)</f>
        <v>0</v>
      </c>
    </row>
    <row r="143" spans="1:8" ht="171.75">
      <c r="A143" s="156">
        <v>4</v>
      </c>
      <c r="B143" s="157" t="s">
        <v>263</v>
      </c>
      <c r="C143" s="158" t="s">
        <v>409</v>
      </c>
      <c r="D143" s="157" t="s">
        <v>262</v>
      </c>
      <c r="E143" s="164">
        <v>0</v>
      </c>
      <c r="F143" s="157">
        <v>2</v>
      </c>
      <c r="G143" s="159">
        <f t="shared" si="18"/>
        <v>0</v>
      </c>
      <c r="H143" s="159">
        <f t="shared" si="19"/>
        <v>0</v>
      </c>
    </row>
    <row r="144" spans="1:8">
      <c r="A144" s="167">
        <v>5</v>
      </c>
      <c r="B144" s="157" t="s">
        <v>271</v>
      </c>
      <c r="C144" s="158" t="s">
        <v>328</v>
      </c>
      <c r="D144" s="157" t="s">
        <v>270</v>
      </c>
      <c r="E144" s="164">
        <v>0</v>
      </c>
      <c r="F144" s="157">
        <v>2</v>
      </c>
      <c r="G144" s="159">
        <f t="shared" si="18"/>
        <v>0</v>
      </c>
      <c r="H144" s="159">
        <f t="shared" si="19"/>
        <v>0</v>
      </c>
    </row>
    <row r="145" spans="1:8" ht="57.75">
      <c r="A145" s="156">
        <v>6</v>
      </c>
      <c r="B145" s="157" t="s">
        <v>272</v>
      </c>
      <c r="C145" s="158" t="s">
        <v>273</v>
      </c>
      <c r="D145" s="157" t="s">
        <v>262</v>
      </c>
      <c r="E145" s="164">
        <v>0</v>
      </c>
      <c r="F145" s="157">
        <v>1</v>
      </c>
      <c r="G145" s="159">
        <f t="shared" si="18"/>
        <v>0</v>
      </c>
      <c r="H145" s="159">
        <f t="shared" si="19"/>
        <v>0</v>
      </c>
    </row>
    <row r="146" spans="1:8" ht="100.5">
      <c r="A146" s="167">
        <v>7</v>
      </c>
      <c r="B146" s="156" t="s">
        <v>280</v>
      </c>
      <c r="C146" s="158" t="s">
        <v>281</v>
      </c>
      <c r="D146" s="157" t="s">
        <v>262</v>
      </c>
      <c r="E146" s="164">
        <v>0</v>
      </c>
      <c r="F146" s="157">
        <v>12</v>
      </c>
      <c r="G146" s="159">
        <f t="shared" si="18"/>
        <v>0</v>
      </c>
      <c r="H146" s="159">
        <f t="shared" si="19"/>
        <v>0</v>
      </c>
    </row>
    <row r="147" spans="1:8">
      <c r="A147" s="216" t="s">
        <v>204</v>
      </c>
      <c r="B147" s="216"/>
      <c r="C147" s="216"/>
      <c r="D147" s="216"/>
      <c r="E147" s="216"/>
      <c r="F147" s="216"/>
      <c r="G147" s="217">
        <f>TRUNC(SUM(H140:H146),2)</f>
        <v>0</v>
      </c>
      <c r="H147" s="217"/>
    </row>
    <row r="148" spans="1:8">
      <c r="G148" s="229"/>
      <c r="H148" s="230"/>
    </row>
  </sheetData>
  <mergeCells count="41">
    <mergeCell ref="A147:F147"/>
    <mergeCell ref="G147:H147"/>
    <mergeCell ref="G148:H148"/>
    <mergeCell ref="A126:H126"/>
    <mergeCell ref="A134:F134"/>
    <mergeCell ref="G134:H134"/>
    <mergeCell ref="A137:H137"/>
    <mergeCell ref="A138:H138"/>
    <mergeCell ref="A112:H112"/>
    <mergeCell ref="A113:H113"/>
    <mergeCell ref="A122:F122"/>
    <mergeCell ref="G122:H122"/>
    <mergeCell ref="A125:H125"/>
    <mergeCell ref="A1:H1"/>
    <mergeCell ref="A2:H2"/>
    <mergeCell ref="A15:F15"/>
    <mergeCell ref="G15:H15"/>
    <mergeCell ref="A18:H18"/>
    <mergeCell ref="A19:H19"/>
    <mergeCell ref="A32:F32"/>
    <mergeCell ref="G32:H32"/>
    <mergeCell ref="A35:H35"/>
    <mergeCell ref="A36:H36"/>
    <mergeCell ref="A47:F47"/>
    <mergeCell ref="G47:H47"/>
    <mergeCell ref="A49:H49"/>
    <mergeCell ref="A50:H50"/>
    <mergeCell ref="A62:F62"/>
    <mergeCell ref="G62:H62"/>
    <mergeCell ref="A65:H65"/>
    <mergeCell ref="A66:H66"/>
    <mergeCell ref="A80:F80"/>
    <mergeCell ref="G80:H80"/>
    <mergeCell ref="A83:H83"/>
    <mergeCell ref="A110:F110"/>
    <mergeCell ref="G110:H110"/>
    <mergeCell ref="A84:H84"/>
    <mergeCell ref="A97:F97"/>
    <mergeCell ref="G97:H97"/>
    <mergeCell ref="A100:H100"/>
    <mergeCell ref="A101:H101"/>
  </mergeCells>
  <pageMargins left="0.25" right="0.25" top="0.75" bottom="0.75" header="0.3" footer="0.3"/>
  <pageSetup paperSize="9" scale="75" fitToHeight="0" orientation="portrait" r:id="rId1"/>
  <tableParts count="3">
    <tablePart r:id="rId2"/>
    <tablePart r:id="rId3"/>
    <tablePart r:id="rId4"/>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74057-B822-4D00-8225-9746E3C2D199}">
  <sheetPr>
    <pageSetUpPr fitToPage="1"/>
  </sheetPr>
  <dimension ref="A1:F28"/>
  <sheetViews>
    <sheetView workbookViewId="0">
      <selection activeCell="I17" sqref="I17"/>
    </sheetView>
  </sheetViews>
  <sheetFormatPr defaultRowHeight="15"/>
  <cols>
    <col min="2" max="2" width="12.140625" customWidth="1"/>
    <col min="3" max="3" width="43.85546875" customWidth="1"/>
    <col min="4" max="4" width="12.140625" customWidth="1"/>
    <col min="5" max="5" width="10.140625" customWidth="1"/>
    <col min="6" max="6" width="14.42578125" bestFit="1" customWidth="1"/>
  </cols>
  <sheetData>
    <row r="1" spans="1:6" ht="21">
      <c r="A1" s="234" t="s">
        <v>359</v>
      </c>
      <c r="B1" s="234"/>
      <c r="C1" s="234"/>
      <c r="D1" s="234"/>
      <c r="E1" s="234"/>
      <c r="F1" s="234"/>
    </row>
    <row r="2" spans="1:6" ht="15.75">
      <c r="A2" s="139"/>
      <c r="B2" s="139"/>
      <c r="C2" s="139"/>
      <c r="D2" s="139"/>
      <c r="E2" s="139"/>
      <c r="F2" s="139"/>
    </row>
    <row r="3" spans="1:6">
      <c r="A3" s="232" t="s">
        <v>360</v>
      </c>
      <c r="B3" s="232"/>
      <c r="C3" s="232"/>
      <c r="D3" s="232"/>
      <c r="E3" s="232"/>
      <c r="F3" s="232"/>
    </row>
    <row r="4" spans="1:6" ht="25.5">
      <c r="A4" s="141" t="s">
        <v>16</v>
      </c>
      <c r="B4" s="141" t="s">
        <v>361</v>
      </c>
      <c r="C4" s="141" t="s">
        <v>17</v>
      </c>
      <c r="D4" s="141" t="s">
        <v>362</v>
      </c>
      <c r="E4" s="141" t="s">
        <v>363</v>
      </c>
      <c r="F4" s="142" t="s">
        <v>364</v>
      </c>
    </row>
    <row r="5" spans="1:6" ht="51">
      <c r="A5" s="143">
        <v>1</v>
      </c>
      <c r="B5" s="143" t="s">
        <v>365</v>
      </c>
      <c r="C5" s="143" t="s">
        <v>366</v>
      </c>
      <c r="D5" s="143">
        <v>4</v>
      </c>
      <c r="E5" s="165">
        <v>0</v>
      </c>
      <c r="F5" s="144">
        <f t="shared" ref="F5:F10" si="0">E5*D5</f>
        <v>0</v>
      </c>
    </row>
    <row r="6" spans="1:6">
      <c r="A6" s="143">
        <v>2</v>
      </c>
      <c r="B6" s="143" t="s">
        <v>367</v>
      </c>
      <c r="C6" s="143" t="s">
        <v>368</v>
      </c>
      <c r="D6" s="143">
        <v>14</v>
      </c>
      <c r="E6" s="165">
        <v>0</v>
      </c>
      <c r="F6" s="144">
        <f t="shared" si="0"/>
        <v>0</v>
      </c>
    </row>
    <row r="7" spans="1:6" ht="51">
      <c r="A7" s="143">
        <v>3</v>
      </c>
      <c r="B7" s="143" t="s">
        <v>369</v>
      </c>
      <c r="C7" s="143" t="s">
        <v>370</v>
      </c>
      <c r="D7" s="143">
        <v>12</v>
      </c>
      <c r="E7" s="165">
        <v>0</v>
      </c>
      <c r="F7" s="144">
        <f t="shared" si="0"/>
        <v>0</v>
      </c>
    </row>
    <row r="8" spans="1:6" ht="63.75">
      <c r="A8" s="143">
        <v>4</v>
      </c>
      <c r="B8" s="143" t="s">
        <v>369</v>
      </c>
      <c r="C8" s="143" t="s">
        <v>400</v>
      </c>
      <c r="D8" s="143">
        <v>12</v>
      </c>
      <c r="E8" s="165">
        <v>0</v>
      </c>
      <c r="F8" s="144">
        <f t="shared" si="0"/>
        <v>0</v>
      </c>
    </row>
    <row r="9" spans="1:6" ht="38.25">
      <c r="A9" s="143">
        <v>5</v>
      </c>
      <c r="B9" s="143" t="s">
        <v>402</v>
      </c>
      <c r="C9" s="143" t="s">
        <v>403</v>
      </c>
      <c r="D9" s="143">
        <v>20</v>
      </c>
      <c r="E9" s="165">
        <v>0</v>
      </c>
      <c r="F9" s="144">
        <f t="shared" si="0"/>
        <v>0</v>
      </c>
    </row>
    <row r="10" spans="1:6" ht="63.75">
      <c r="A10" s="143">
        <v>6</v>
      </c>
      <c r="B10" s="143" t="s">
        <v>371</v>
      </c>
      <c r="C10" s="143" t="s">
        <v>372</v>
      </c>
      <c r="D10" s="143">
        <v>2</v>
      </c>
      <c r="E10" s="165">
        <v>0</v>
      </c>
      <c r="F10" s="144">
        <f t="shared" si="0"/>
        <v>0</v>
      </c>
    </row>
    <row r="11" spans="1:6">
      <c r="A11" s="233" t="s">
        <v>373</v>
      </c>
      <c r="B11" s="233"/>
      <c r="C11" s="233"/>
      <c r="D11" s="233"/>
      <c r="E11" s="233"/>
      <c r="F11" s="145">
        <f>SUM(F5:F10)</f>
        <v>0</v>
      </c>
    </row>
    <row r="12" spans="1:6">
      <c r="A12" s="231" t="s">
        <v>374</v>
      </c>
      <c r="B12" s="231"/>
      <c r="C12" s="231"/>
      <c r="D12" s="231"/>
      <c r="E12" s="231"/>
      <c r="F12" s="146">
        <f>F11</f>
        <v>0</v>
      </c>
    </row>
    <row r="13" spans="1:6">
      <c r="A13" s="140"/>
      <c r="B13" s="140"/>
      <c r="C13" s="140"/>
      <c r="D13" s="140"/>
      <c r="E13" s="140"/>
      <c r="F13" s="140"/>
    </row>
    <row r="14" spans="1:6">
      <c r="A14" s="232" t="s">
        <v>375</v>
      </c>
      <c r="B14" s="232"/>
      <c r="C14" s="232"/>
      <c r="D14" s="232"/>
      <c r="E14" s="232"/>
      <c r="F14" s="232"/>
    </row>
    <row r="15" spans="1:6" ht="25.5">
      <c r="A15" s="141" t="s">
        <v>16</v>
      </c>
      <c r="B15" s="141" t="s">
        <v>361</v>
      </c>
      <c r="C15" s="141" t="s">
        <v>17</v>
      </c>
      <c r="D15" s="141" t="s">
        <v>362</v>
      </c>
      <c r="E15" s="141" t="s">
        <v>363</v>
      </c>
      <c r="F15" s="142" t="s">
        <v>364</v>
      </c>
    </row>
    <row r="16" spans="1:6" ht="51">
      <c r="A16" s="143">
        <v>1</v>
      </c>
      <c r="B16" s="143" t="s">
        <v>376</v>
      </c>
      <c r="C16" s="143" t="s">
        <v>377</v>
      </c>
      <c r="D16" s="143">
        <v>3</v>
      </c>
      <c r="E16" s="165">
        <v>0</v>
      </c>
      <c r="F16" s="144">
        <f t="shared" ref="F16:F17" si="1">E16*D16</f>
        <v>0</v>
      </c>
    </row>
    <row r="17" spans="1:6" ht="38.25">
      <c r="A17" s="143">
        <v>2</v>
      </c>
      <c r="B17" s="143" t="s">
        <v>378</v>
      </c>
      <c r="C17" s="143" t="s">
        <v>379</v>
      </c>
      <c r="D17" s="143">
        <v>2</v>
      </c>
      <c r="E17" s="165">
        <v>0</v>
      </c>
      <c r="F17" s="144">
        <f t="shared" si="1"/>
        <v>0</v>
      </c>
    </row>
    <row r="18" spans="1:6">
      <c r="A18" s="233" t="s">
        <v>380</v>
      </c>
      <c r="B18" s="233"/>
      <c r="C18" s="233"/>
      <c r="D18" s="233"/>
      <c r="E18" s="233"/>
      <c r="F18" s="145">
        <f>SUM(F16:F17)</f>
        <v>0</v>
      </c>
    </row>
    <row r="19" spans="1:6">
      <c r="A19" s="231" t="s">
        <v>381</v>
      </c>
      <c r="B19" s="231"/>
      <c r="C19" s="231"/>
      <c r="D19" s="231"/>
      <c r="E19" s="231"/>
      <c r="F19" s="146">
        <f>F18/6</f>
        <v>0</v>
      </c>
    </row>
    <row r="20" spans="1:6">
      <c r="A20" s="140"/>
      <c r="B20" s="140"/>
      <c r="C20" s="140"/>
      <c r="D20" s="140"/>
      <c r="E20" s="140"/>
      <c r="F20" s="140"/>
    </row>
    <row r="21" spans="1:6">
      <c r="A21" s="232" t="s">
        <v>382</v>
      </c>
      <c r="B21" s="232"/>
      <c r="C21" s="232"/>
      <c r="D21" s="232"/>
      <c r="E21" s="232"/>
      <c r="F21" s="232"/>
    </row>
    <row r="22" spans="1:6" ht="25.5">
      <c r="A22" s="141" t="s">
        <v>16</v>
      </c>
      <c r="B22" s="141" t="s">
        <v>361</v>
      </c>
      <c r="C22" s="141" t="s">
        <v>17</v>
      </c>
      <c r="D22" s="141" t="s">
        <v>362</v>
      </c>
      <c r="E22" s="141" t="s">
        <v>363</v>
      </c>
      <c r="F22" s="142" t="s">
        <v>364</v>
      </c>
    </row>
    <row r="23" spans="1:6" ht="38.25">
      <c r="A23" s="143">
        <v>1</v>
      </c>
      <c r="B23" s="143" t="s">
        <v>383</v>
      </c>
      <c r="C23" s="143" t="s">
        <v>384</v>
      </c>
      <c r="D23" s="143">
        <v>1</v>
      </c>
      <c r="E23" s="165">
        <v>0</v>
      </c>
      <c r="F23" s="144">
        <f t="shared" ref="F23:F26" si="2">E23*D23</f>
        <v>0</v>
      </c>
    </row>
    <row r="24" spans="1:6" ht="51">
      <c r="A24" s="143">
        <v>2</v>
      </c>
      <c r="B24" s="143" t="s">
        <v>385</v>
      </c>
      <c r="C24" s="143" t="s">
        <v>386</v>
      </c>
      <c r="D24" s="143">
        <v>1</v>
      </c>
      <c r="E24" s="165">
        <v>0</v>
      </c>
      <c r="F24" s="144">
        <f t="shared" si="2"/>
        <v>0</v>
      </c>
    </row>
    <row r="25" spans="1:6" ht="76.5">
      <c r="A25" s="143">
        <v>3</v>
      </c>
      <c r="B25" s="143" t="s">
        <v>401</v>
      </c>
      <c r="C25" s="143" t="s">
        <v>404</v>
      </c>
      <c r="D25" s="143">
        <v>1</v>
      </c>
      <c r="E25" s="165">
        <v>0</v>
      </c>
      <c r="F25" s="144">
        <f t="shared" si="2"/>
        <v>0</v>
      </c>
    </row>
    <row r="26" spans="1:6" ht="51">
      <c r="A26" s="143">
        <v>4</v>
      </c>
      <c r="B26" s="143" t="s">
        <v>387</v>
      </c>
      <c r="C26" s="143" t="s">
        <v>388</v>
      </c>
      <c r="D26" s="143">
        <v>2</v>
      </c>
      <c r="E26" s="165">
        <v>0</v>
      </c>
      <c r="F26" s="144">
        <f t="shared" si="2"/>
        <v>0</v>
      </c>
    </row>
    <row r="27" spans="1:6">
      <c r="A27" s="233" t="s">
        <v>389</v>
      </c>
      <c r="B27" s="233"/>
      <c r="C27" s="233"/>
      <c r="D27" s="233"/>
      <c r="E27" s="233"/>
      <c r="F27" s="145">
        <f>SUM(F23:F26)</f>
        <v>0</v>
      </c>
    </row>
    <row r="28" spans="1:6">
      <c r="A28" s="231" t="s">
        <v>390</v>
      </c>
      <c r="B28" s="231"/>
      <c r="C28" s="231"/>
      <c r="D28" s="231"/>
      <c r="E28" s="231"/>
      <c r="F28" s="146">
        <f>F27/12</f>
        <v>0</v>
      </c>
    </row>
  </sheetData>
  <mergeCells count="10">
    <mergeCell ref="A19:E19"/>
    <mergeCell ref="A21:F21"/>
    <mergeCell ref="A27:E27"/>
    <mergeCell ref="A28:E28"/>
    <mergeCell ref="A1:F1"/>
    <mergeCell ref="A3:F3"/>
    <mergeCell ref="A11:E11"/>
    <mergeCell ref="A12:E12"/>
    <mergeCell ref="A14:F14"/>
    <mergeCell ref="A18:E18"/>
  </mergeCells>
  <pageMargins left="0.25" right="0.25" top="0.75" bottom="0.75" header="0.3" footer="0.3"/>
  <pageSetup paperSize="9" scale="97"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ED814-99D1-4E9C-8B01-2862052ABB4B}">
  <sheetPr>
    <pageSetUpPr fitToPage="1"/>
  </sheetPr>
  <dimension ref="A1:F31"/>
  <sheetViews>
    <sheetView workbookViewId="0">
      <selection activeCell="A16" sqref="A16:E16"/>
    </sheetView>
  </sheetViews>
  <sheetFormatPr defaultRowHeight="15"/>
  <cols>
    <col min="2" max="2" width="13.28515625" customWidth="1"/>
    <col min="3" max="3" width="37" customWidth="1"/>
    <col min="5" max="5" width="11" bestFit="1" customWidth="1"/>
    <col min="6" max="6" width="12" bestFit="1" customWidth="1"/>
  </cols>
  <sheetData>
    <row r="1" spans="1:6" ht="21">
      <c r="A1" s="238" t="s">
        <v>391</v>
      </c>
      <c r="B1" s="238"/>
      <c r="C1" s="238"/>
      <c r="D1" s="238"/>
      <c r="E1" s="238"/>
      <c r="F1" s="238"/>
    </row>
    <row r="3" spans="1:6" ht="18">
      <c r="A3" s="239" t="s">
        <v>375</v>
      </c>
      <c r="B3" s="239"/>
      <c r="C3" s="239"/>
      <c r="D3" s="239"/>
      <c r="E3" s="239"/>
      <c r="F3" s="239"/>
    </row>
    <row r="4" spans="1:6" ht="38.25">
      <c r="A4" s="141" t="s">
        <v>16</v>
      </c>
      <c r="B4" s="141" t="s">
        <v>361</v>
      </c>
      <c r="C4" s="141" t="s">
        <v>17</v>
      </c>
      <c r="D4" s="141" t="s">
        <v>362</v>
      </c>
      <c r="E4" s="141" t="s">
        <v>363</v>
      </c>
      <c r="F4" s="142" t="s">
        <v>364</v>
      </c>
    </row>
    <row r="5" spans="1:6" ht="48">
      <c r="A5" s="147">
        <v>1</v>
      </c>
      <c r="B5" s="147" t="s">
        <v>392</v>
      </c>
      <c r="C5" s="147" t="s">
        <v>393</v>
      </c>
      <c r="D5" s="147">
        <v>1</v>
      </c>
      <c r="E5" s="166">
        <v>0</v>
      </c>
      <c r="F5" s="150">
        <f t="shared" ref="F5:F6" si="0">E5*D5</f>
        <v>0</v>
      </c>
    </row>
    <row r="6" spans="1:6" ht="96">
      <c r="A6" s="147">
        <v>2</v>
      </c>
      <c r="B6" s="147" t="s">
        <v>405</v>
      </c>
      <c r="C6" s="147" t="s">
        <v>406</v>
      </c>
      <c r="D6" s="147">
        <v>2</v>
      </c>
      <c r="E6" s="166">
        <v>0</v>
      </c>
      <c r="F6" s="150">
        <f t="shared" si="0"/>
        <v>0</v>
      </c>
    </row>
    <row r="7" spans="1:6">
      <c r="A7" s="231" t="s">
        <v>380</v>
      </c>
      <c r="B7" s="231"/>
      <c r="C7" s="231"/>
      <c r="D7" s="231"/>
      <c r="E7" s="231"/>
      <c r="F7" s="148">
        <f>SUM(F5:F6)</f>
        <v>0</v>
      </c>
    </row>
    <row r="8" spans="1:6">
      <c r="A8" s="231" t="s">
        <v>374</v>
      </c>
      <c r="B8" s="231"/>
      <c r="C8" s="231"/>
      <c r="D8" s="231"/>
      <c r="E8" s="231"/>
      <c r="F8" s="149">
        <f>F7/6</f>
        <v>0</v>
      </c>
    </row>
    <row r="9" spans="1:6">
      <c r="A9" s="4"/>
      <c r="B9" s="4"/>
      <c r="C9" s="4"/>
      <c r="D9" s="4"/>
      <c r="E9" s="4"/>
      <c r="F9" s="4"/>
    </row>
    <row r="10" spans="1:6" ht="18.75">
      <c r="A10" s="240" t="s">
        <v>394</v>
      </c>
      <c r="B10" s="240"/>
      <c r="C10" s="240"/>
      <c r="D10" s="240"/>
      <c r="E10" s="240"/>
      <c r="F10" s="240"/>
    </row>
    <row r="11" spans="1:6">
      <c r="A11" s="4"/>
      <c r="B11" s="4"/>
      <c r="C11" s="4"/>
      <c r="D11" s="4"/>
      <c r="E11" s="4"/>
      <c r="F11" s="4"/>
    </row>
    <row r="12" spans="1:6" ht="18">
      <c r="A12" s="239" t="s">
        <v>382</v>
      </c>
      <c r="B12" s="239"/>
      <c r="C12" s="239"/>
      <c r="D12" s="239"/>
      <c r="E12" s="239"/>
      <c r="F12" s="239"/>
    </row>
    <row r="13" spans="1:6" ht="38.25">
      <c r="A13" s="141" t="s">
        <v>16</v>
      </c>
      <c r="B13" s="141" t="s">
        <v>361</v>
      </c>
      <c r="C13" s="141" t="s">
        <v>17</v>
      </c>
      <c r="D13" s="141" t="s">
        <v>362</v>
      </c>
      <c r="E13" s="141" t="s">
        <v>363</v>
      </c>
      <c r="F13" s="142" t="s">
        <v>364</v>
      </c>
    </row>
    <row r="14" spans="1:6" ht="24">
      <c r="A14" s="147">
        <v>1</v>
      </c>
      <c r="B14" s="147" t="s">
        <v>395</v>
      </c>
      <c r="C14" s="147" t="s">
        <v>396</v>
      </c>
      <c r="D14" s="147">
        <v>1</v>
      </c>
      <c r="E14" s="166">
        <v>0</v>
      </c>
      <c r="F14" s="150">
        <f t="shared" ref="F14:F15" si="1">E14*D14</f>
        <v>0</v>
      </c>
    </row>
    <row r="15" spans="1:6" ht="204">
      <c r="A15" s="147">
        <v>2</v>
      </c>
      <c r="B15" s="147" t="s">
        <v>397</v>
      </c>
      <c r="C15" s="147" t="s">
        <v>410</v>
      </c>
      <c r="D15" s="147">
        <v>1</v>
      </c>
      <c r="E15" s="166">
        <v>0</v>
      </c>
      <c r="F15" s="150">
        <f t="shared" si="1"/>
        <v>0</v>
      </c>
    </row>
    <row r="16" spans="1:6">
      <c r="A16" s="231" t="s">
        <v>374</v>
      </c>
      <c r="B16" s="231"/>
      <c r="C16" s="231"/>
      <c r="D16" s="231"/>
      <c r="E16" s="231"/>
      <c r="F16" s="148">
        <f>SUM(F14:F15)</f>
        <v>0</v>
      </c>
    </row>
    <row r="17" spans="1:6">
      <c r="A17" s="241" t="s">
        <v>414</v>
      </c>
      <c r="B17" s="242"/>
      <c r="C17" s="242"/>
      <c r="D17" s="242"/>
      <c r="E17" s="243"/>
      <c r="F17" s="148">
        <f>TRUNC(F16*0.5%,2)</f>
        <v>0</v>
      </c>
    </row>
    <row r="18" spans="1:6">
      <c r="A18" s="241" t="s">
        <v>415</v>
      </c>
      <c r="B18" s="242"/>
      <c r="C18" s="242"/>
      <c r="D18" s="242"/>
      <c r="E18" s="243"/>
      <c r="F18" s="148">
        <f>TRUNC(F16*(1-0.2))/(12*8)</f>
        <v>0</v>
      </c>
    </row>
    <row r="19" spans="1:6">
      <c r="A19" s="241" t="s">
        <v>417</v>
      </c>
      <c r="B19" s="242"/>
      <c r="C19" s="242"/>
      <c r="D19" s="242"/>
      <c r="E19" s="243"/>
      <c r="F19" s="148">
        <f>SUM(F17:F18)</f>
        <v>0</v>
      </c>
    </row>
    <row r="20" spans="1:6">
      <c r="A20" s="237" t="s">
        <v>416</v>
      </c>
      <c r="B20" s="237"/>
      <c r="C20" s="237"/>
      <c r="D20" s="237"/>
      <c r="E20" s="237"/>
      <c r="F20" s="149">
        <f>F19/1</f>
        <v>0</v>
      </c>
    </row>
    <row r="22" spans="1:6">
      <c r="A22" s="235" t="s">
        <v>418</v>
      </c>
      <c r="B22" s="236"/>
      <c r="C22" s="236"/>
      <c r="D22" s="236"/>
      <c r="E22" s="236"/>
      <c r="F22" s="236"/>
    </row>
    <row r="23" spans="1:6">
      <c r="A23" s="236"/>
      <c r="B23" s="236"/>
      <c r="C23" s="236"/>
      <c r="D23" s="236"/>
      <c r="E23" s="236"/>
      <c r="F23" s="236"/>
    </row>
    <row r="24" spans="1:6">
      <c r="A24" s="236"/>
      <c r="B24" s="236"/>
      <c r="C24" s="236"/>
      <c r="D24" s="236"/>
      <c r="E24" s="236"/>
      <c r="F24" s="236"/>
    </row>
    <row r="25" spans="1:6">
      <c r="A25" s="236"/>
      <c r="B25" s="236"/>
      <c r="C25" s="236"/>
      <c r="D25" s="236"/>
      <c r="E25" s="236"/>
      <c r="F25" s="236"/>
    </row>
    <row r="26" spans="1:6">
      <c r="A26" s="236"/>
      <c r="B26" s="236"/>
      <c r="C26" s="236"/>
      <c r="D26" s="236"/>
      <c r="E26" s="236"/>
      <c r="F26" s="236"/>
    </row>
    <row r="27" spans="1:6">
      <c r="A27" s="236"/>
      <c r="B27" s="236"/>
      <c r="C27" s="236"/>
      <c r="D27" s="236"/>
      <c r="E27" s="236"/>
      <c r="F27" s="236"/>
    </row>
    <row r="28" spans="1:6">
      <c r="A28" s="236"/>
      <c r="B28" s="236"/>
      <c r="C28" s="236"/>
      <c r="D28" s="236"/>
      <c r="E28" s="236"/>
      <c r="F28" s="236"/>
    </row>
    <row r="29" spans="1:6">
      <c r="A29" s="236"/>
      <c r="B29" s="236"/>
      <c r="C29" s="236"/>
      <c r="D29" s="236"/>
      <c r="E29" s="236"/>
      <c r="F29" s="236"/>
    </row>
    <row r="30" spans="1:6">
      <c r="A30" s="236"/>
      <c r="B30" s="236"/>
      <c r="C30" s="236"/>
      <c r="D30" s="236"/>
      <c r="E30" s="236"/>
      <c r="F30" s="236"/>
    </row>
    <row r="31" spans="1:6" ht="98.25" customHeight="1">
      <c r="A31" s="236"/>
      <c r="B31" s="236"/>
      <c r="C31" s="236"/>
      <c r="D31" s="236"/>
      <c r="E31" s="236"/>
      <c r="F31" s="236"/>
    </row>
  </sheetData>
  <mergeCells count="12">
    <mergeCell ref="A22:F31"/>
    <mergeCell ref="A16:E16"/>
    <mergeCell ref="A20:E20"/>
    <mergeCell ref="A1:F1"/>
    <mergeCell ref="A3:F3"/>
    <mergeCell ref="A7:E7"/>
    <mergeCell ref="A8:E8"/>
    <mergeCell ref="A10:F10"/>
    <mergeCell ref="A12:F12"/>
    <mergeCell ref="A17:E17"/>
    <mergeCell ref="A18:E18"/>
    <mergeCell ref="A19:E19"/>
  </mergeCells>
  <pageMargins left="0.25" right="0.25" top="0.75" bottom="0.75" header="0.3" footer="0.3"/>
  <pageSetup paperSize="9"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04011-FDE5-4AFA-AE8D-24D8AC75A9BE}">
  <sheetPr>
    <pageSetUpPr fitToPage="1"/>
  </sheetPr>
  <dimension ref="B1:J22"/>
  <sheetViews>
    <sheetView workbookViewId="0">
      <selection activeCell="H20" sqref="H20"/>
    </sheetView>
  </sheetViews>
  <sheetFormatPr defaultColWidth="8.85546875" defaultRowHeight="15"/>
  <cols>
    <col min="2" max="2" width="36.28515625" customWidth="1"/>
    <col min="3" max="3" width="24.140625" customWidth="1"/>
    <col min="4" max="4" width="13" customWidth="1"/>
    <col min="5" max="5" width="30.7109375" customWidth="1"/>
    <col min="9" max="9" width="22.5703125" customWidth="1"/>
    <col min="10" max="10" width="17.7109375" customWidth="1"/>
  </cols>
  <sheetData>
    <row r="1" spans="2:10" ht="16.5" thickBot="1">
      <c r="B1" s="258" t="s">
        <v>218</v>
      </c>
      <c r="C1" s="259"/>
      <c r="D1" s="259"/>
      <c r="E1" s="260"/>
      <c r="F1" s="113"/>
      <c r="G1" s="113"/>
      <c r="H1" s="113"/>
      <c r="I1" s="113"/>
      <c r="J1" s="113"/>
    </row>
    <row r="2" spans="2:10" ht="33" thickTop="1" thickBot="1">
      <c r="B2" s="114" t="s">
        <v>341</v>
      </c>
      <c r="C2" s="115" t="s">
        <v>220</v>
      </c>
      <c r="D2" s="264" t="s">
        <v>291</v>
      </c>
      <c r="E2" s="265"/>
      <c r="F2" s="113"/>
      <c r="G2" s="113"/>
      <c r="H2" s="113"/>
      <c r="I2" s="113"/>
      <c r="J2" s="113"/>
    </row>
    <row r="3" spans="2:10" ht="17.25" thickTop="1" thickBot="1">
      <c r="B3" s="116" t="s">
        <v>342</v>
      </c>
      <c r="C3" s="117" t="s">
        <v>343</v>
      </c>
      <c r="D3" s="266" t="s">
        <v>344</v>
      </c>
      <c r="E3" s="267"/>
      <c r="F3" s="113"/>
      <c r="G3" s="113"/>
      <c r="H3" s="113"/>
      <c r="I3" s="113"/>
      <c r="J3" s="113"/>
    </row>
    <row r="4" spans="2:10" ht="17.25" thickTop="1" thickBot="1">
      <c r="B4" s="118">
        <v>120</v>
      </c>
      <c r="C4" s="119">
        <f>E19</f>
        <v>175.15</v>
      </c>
      <c r="D4" s="268">
        <f>TRUNC((B4*C4),2)</f>
        <v>21018</v>
      </c>
      <c r="E4" s="269"/>
      <c r="F4" s="113"/>
      <c r="G4" s="113"/>
      <c r="H4" s="120"/>
      <c r="I4" s="120"/>
      <c r="J4" s="120"/>
    </row>
    <row r="5" spans="2:10" ht="17.25" thickTop="1" thickBot="1">
      <c r="B5" s="121"/>
      <c r="C5" s="122"/>
      <c r="D5" s="122"/>
      <c r="E5" s="123"/>
      <c r="F5" s="113"/>
      <c r="G5" s="113"/>
      <c r="H5" s="120"/>
      <c r="I5" s="256" t="s">
        <v>232</v>
      </c>
      <c r="J5" s="257"/>
    </row>
    <row r="6" spans="2:10" ht="17.25" thickTop="1" thickBot="1">
      <c r="B6" s="121"/>
      <c r="C6" s="122"/>
      <c r="D6" s="122"/>
      <c r="E6" s="123"/>
      <c r="F6" s="113"/>
      <c r="G6" s="113"/>
      <c r="H6" s="120"/>
      <c r="I6" s="124" t="s">
        <v>233</v>
      </c>
      <c r="J6" s="125">
        <f>D18</f>
        <v>8.6499999999999994E-2</v>
      </c>
    </row>
    <row r="7" spans="2:10" ht="16.5" thickBot="1">
      <c r="B7" s="258" t="s">
        <v>345</v>
      </c>
      <c r="C7" s="259"/>
      <c r="D7" s="259"/>
      <c r="E7" s="260"/>
      <c r="F7" s="113"/>
      <c r="G7" s="113"/>
      <c r="H7" s="120"/>
      <c r="I7" s="126" t="s">
        <v>346</v>
      </c>
      <c r="J7" s="127">
        <f>E13</f>
        <v>160</v>
      </c>
    </row>
    <row r="8" spans="2:10" ht="17.25" thickTop="1" thickBot="1">
      <c r="B8" s="270" t="s">
        <v>347</v>
      </c>
      <c r="C8" s="270"/>
      <c r="D8" s="270"/>
      <c r="E8" s="128">
        <v>160</v>
      </c>
      <c r="F8" s="113"/>
      <c r="G8" s="113"/>
      <c r="H8" s="120"/>
      <c r="I8" s="124" t="s">
        <v>348</v>
      </c>
      <c r="J8" s="129">
        <f>(1-J6)</f>
        <v>0.91349999999999998</v>
      </c>
    </row>
    <row r="9" spans="2:10" ht="16.5" thickTop="1">
      <c r="B9" s="271" t="s">
        <v>349</v>
      </c>
      <c r="C9" s="272"/>
      <c r="D9" s="130" t="s">
        <v>350</v>
      </c>
      <c r="E9" s="131" t="s">
        <v>351</v>
      </c>
      <c r="F9" s="113"/>
      <c r="G9" s="113"/>
      <c r="H9" s="120"/>
      <c r="I9" s="132"/>
      <c r="J9" s="132"/>
    </row>
    <row r="10" spans="2:10" ht="15.75">
      <c r="B10" s="247" t="s">
        <v>352</v>
      </c>
      <c r="C10" s="248"/>
      <c r="D10" s="133">
        <f>'Motorista Interestadual'!C130</f>
        <v>0</v>
      </c>
      <c r="E10" s="276">
        <f>TRUNC((E8*D10),2)</f>
        <v>0</v>
      </c>
      <c r="F10" s="113"/>
      <c r="G10" s="113"/>
      <c r="H10" s="120"/>
      <c r="I10" s="132"/>
      <c r="J10" s="132"/>
    </row>
    <row r="11" spans="2:10" ht="16.5" thickBot="1">
      <c r="B11" s="249" t="s">
        <v>353</v>
      </c>
      <c r="C11" s="250"/>
      <c r="D11" s="133">
        <f>'Motorista Interestadual'!C131</f>
        <v>0</v>
      </c>
      <c r="E11" s="276">
        <f>TRUNC((E8*D11),2)</f>
        <v>0</v>
      </c>
      <c r="F11" s="113"/>
      <c r="G11" s="113"/>
      <c r="H11" s="120"/>
      <c r="I11" s="120"/>
      <c r="J11" s="120"/>
    </row>
    <row r="12" spans="2:10" ht="17.25" thickTop="1" thickBot="1">
      <c r="B12" s="273" t="s">
        <v>354</v>
      </c>
      <c r="C12" s="264"/>
      <c r="D12" s="265"/>
      <c r="E12" s="274">
        <f>TRUNC((SUM(E10:E11)),2)</f>
        <v>0</v>
      </c>
      <c r="F12" s="113"/>
      <c r="G12" s="113"/>
      <c r="H12" s="120"/>
      <c r="I12" s="120"/>
      <c r="J12" s="120"/>
    </row>
    <row r="13" spans="2:10" ht="17.25" thickTop="1" thickBot="1">
      <c r="B13" s="261" t="s">
        <v>204</v>
      </c>
      <c r="C13" s="262"/>
      <c r="D13" s="263"/>
      <c r="E13" s="134">
        <f>TRUNC((E8+E12),2)</f>
        <v>160</v>
      </c>
      <c r="F13" s="113"/>
      <c r="G13" s="113"/>
      <c r="H13" s="120"/>
      <c r="I13" s="120"/>
      <c r="J13" s="120"/>
    </row>
    <row r="14" spans="2:10" ht="16.5" thickTop="1">
      <c r="B14" s="245" t="s">
        <v>355</v>
      </c>
      <c r="C14" s="246"/>
      <c r="D14" s="135" t="s">
        <v>350</v>
      </c>
      <c r="E14" s="136" t="s">
        <v>356</v>
      </c>
      <c r="F14" s="113"/>
      <c r="G14" s="113"/>
      <c r="H14" s="113"/>
      <c r="I14" s="113"/>
      <c r="J14" s="113"/>
    </row>
    <row r="15" spans="2:10" ht="15.75">
      <c r="B15" s="247" t="s">
        <v>64</v>
      </c>
      <c r="C15" s="248"/>
      <c r="D15" s="133">
        <f>'[1]Motorista Interestadual'!C132</f>
        <v>6.4999999999999997E-3</v>
      </c>
      <c r="E15" s="276">
        <f>(J7/J8)*(D15)</f>
        <v>1.1384783798576901</v>
      </c>
      <c r="F15" s="113"/>
      <c r="G15" s="113"/>
      <c r="H15" s="113"/>
      <c r="I15" s="113"/>
      <c r="J15" s="113"/>
    </row>
    <row r="16" spans="2:10" ht="15.75">
      <c r="B16" s="249" t="s">
        <v>62</v>
      </c>
      <c r="C16" s="250"/>
      <c r="D16" s="133">
        <f>'[1]Motorista Interestadual'!C133</f>
        <v>0.03</v>
      </c>
      <c r="E16" s="276">
        <f>(J7/J8)*(D16)</f>
        <v>5.2545155993431854</v>
      </c>
      <c r="F16" s="113"/>
      <c r="G16" s="113"/>
      <c r="H16" s="113"/>
      <c r="I16" s="113"/>
      <c r="J16" s="113"/>
    </row>
    <row r="17" spans="2:10" ht="15.75">
      <c r="B17" s="247" t="s">
        <v>60</v>
      </c>
      <c r="C17" s="248"/>
      <c r="D17" s="133">
        <f>'[1]Motorista Interestadual'!C134</f>
        <v>0.05</v>
      </c>
      <c r="E17" s="277">
        <f>(E13/J8)*(D17)</f>
        <v>8.7575259989053098</v>
      </c>
      <c r="F17" s="113"/>
      <c r="G17" s="113"/>
      <c r="H17" s="113"/>
      <c r="I17" s="113"/>
      <c r="J17" s="113"/>
    </row>
    <row r="18" spans="2:10" ht="16.5" thickBot="1">
      <c r="B18" s="251" t="s">
        <v>233</v>
      </c>
      <c r="C18" s="252"/>
      <c r="D18" s="137">
        <f>SUM(D15:D17)</f>
        <v>8.6499999999999994E-2</v>
      </c>
      <c r="E18" s="278">
        <f>SUM(E15:E17)</f>
        <v>15.150519978106185</v>
      </c>
      <c r="F18" s="113"/>
      <c r="G18" s="113"/>
      <c r="H18" s="113"/>
      <c r="I18" s="113"/>
      <c r="J18" s="113"/>
    </row>
    <row r="19" spans="2:10" ht="17.25" thickTop="1" thickBot="1">
      <c r="B19" s="253" t="s">
        <v>204</v>
      </c>
      <c r="C19" s="254"/>
      <c r="D19" s="255"/>
      <c r="E19" s="275">
        <f>TRUNC((E13+E18),2)</f>
        <v>175.15</v>
      </c>
      <c r="F19" s="113"/>
      <c r="G19" s="113"/>
      <c r="H19" s="113"/>
      <c r="I19" s="113"/>
      <c r="J19" s="113"/>
    </row>
    <row r="20" spans="2:10" ht="15.75" thickTop="1">
      <c r="B20" s="138"/>
      <c r="C20" s="138"/>
      <c r="D20" s="138"/>
      <c r="E20" s="138"/>
      <c r="F20" s="113"/>
      <c r="G20" s="113"/>
      <c r="H20" s="113"/>
      <c r="I20" s="113"/>
      <c r="J20" s="113"/>
    </row>
    <row r="21" spans="2:10">
      <c r="B21" s="244" t="s">
        <v>357</v>
      </c>
      <c r="C21" s="244"/>
      <c r="D21" s="244"/>
      <c r="E21" s="244"/>
      <c r="F21" s="113"/>
      <c r="G21" s="113"/>
      <c r="H21" s="113"/>
      <c r="I21" s="113"/>
      <c r="J21" s="113"/>
    </row>
    <row r="22" spans="2:10">
      <c r="B22" s="244" t="s">
        <v>358</v>
      </c>
      <c r="C22" s="244"/>
      <c r="D22" s="244"/>
      <c r="E22" s="244"/>
      <c r="F22" s="113"/>
      <c r="G22" s="113"/>
      <c r="H22" s="113"/>
      <c r="I22" s="113"/>
      <c r="J22" s="113"/>
    </row>
  </sheetData>
  <mergeCells count="20">
    <mergeCell ref="I5:J5"/>
    <mergeCell ref="B7:E7"/>
    <mergeCell ref="B13:D13"/>
    <mergeCell ref="B1:E1"/>
    <mergeCell ref="D2:E2"/>
    <mergeCell ref="D3:E3"/>
    <mergeCell ref="D4:E4"/>
    <mergeCell ref="B8:D8"/>
    <mergeCell ref="B9:C9"/>
    <mergeCell ref="B10:C10"/>
    <mergeCell ref="B11:C11"/>
    <mergeCell ref="B12:D12"/>
    <mergeCell ref="B21:E21"/>
    <mergeCell ref="B22:E22"/>
    <mergeCell ref="B14:C14"/>
    <mergeCell ref="B15:C15"/>
    <mergeCell ref="B16:C16"/>
    <mergeCell ref="B17:C17"/>
    <mergeCell ref="B18:C18"/>
    <mergeCell ref="B19:D19"/>
  </mergeCells>
  <pageMargins left="0.25" right="0.25" top="0.75" bottom="0.75" header="0.3" footer="0.3"/>
  <pageSetup paperSize="9" scale="55"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148"/>
  <sheetViews>
    <sheetView showGridLines="0" zoomScale="85" zoomScaleNormal="85" workbookViewId="0">
      <selection sqref="A1:D1"/>
    </sheetView>
  </sheetViews>
  <sheetFormatPr defaultColWidth="9" defaultRowHeight="15" outlineLevelRow="1"/>
  <cols>
    <col min="1" max="1" width="12.42578125" customWidth="1"/>
    <col min="2" max="2" width="76.42578125" customWidth="1"/>
    <col min="3" max="3" width="28.42578125" customWidth="1"/>
    <col min="4" max="4" width="27.42578125" customWidth="1"/>
    <col min="5" max="5" width="9" customWidth="1"/>
    <col min="6" max="6" width="32.7109375" customWidth="1"/>
    <col min="7" max="7" width="13" customWidth="1"/>
    <col min="8" max="1025" width="9" customWidth="1"/>
  </cols>
  <sheetData>
    <row r="1" spans="1:21">
      <c r="A1" s="188" t="s">
        <v>14</v>
      </c>
      <c r="B1" s="188"/>
      <c r="C1" s="188"/>
      <c r="D1" s="188"/>
      <c r="F1" s="186" t="s">
        <v>15</v>
      </c>
      <c r="G1" s="186"/>
      <c r="H1" s="32"/>
      <c r="I1" s="32"/>
      <c r="J1" s="32"/>
      <c r="K1" s="32"/>
      <c r="L1" s="32"/>
      <c r="M1" s="32"/>
      <c r="N1" s="32"/>
      <c r="O1" s="32"/>
      <c r="P1" s="32"/>
      <c r="Q1" s="32"/>
      <c r="R1" s="32"/>
      <c r="S1" s="32"/>
      <c r="T1" s="32"/>
      <c r="U1" s="32"/>
    </row>
    <row r="2" spans="1:21">
      <c r="A2" s="22" t="s">
        <v>16</v>
      </c>
      <c r="B2" t="s">
        <v>17</v>
      </c>
      <c r="C2" s="22" t="s">
        <v>18</v>
      </c>
      <c r="D2" s="22" t="s">
        <v>19</v>
      </c>
      <c r="F2" s="2" t="s">
        <v>17</v>
      </c>
      <c r="G2" s="2" t="s">
        <v>19</v>
      </c>
      <c r="H2" s="32"/>
      <c r="I2" s="32"/>
      <c r="J2" s="32"/>
      <c r="K2" s="32"/>
      <c r="L2" s="32"/>
      <c r="M2" s="32"/>
      <c r="N2" s="32"/>
      <c r="O2" s="32"/>
      <c r="P2" s="32"/>
      <c r="Q2" s="32"/>
      <c r="R2" s="32"/>
      <c r="S2" s="32"/>
      <c r="T2" s="32"/>
      <c r="U2" s="32"/>
    </row>
    <row r="3" spans="1:21">
      <c r="A3" s="22">
        <v>1</v>
      </c>
      <c r="B3" t="s">
        <v>20</v>
      </c>
      <c r="C3" s="22"/>
      <c r="D3" s="22" t="s">
        <v>21</v>
      </c>
      <c r="F3" t="s">
        <v>22</v>
      </c>
      <c r="G3" s="96">
        <v>0</v>
      </c>
      <c r="H3" s="32"/>
      <c r="I3" s="32"/>
      <c r="J3" s="32"/>
      <c r="K3" s="32"/>
      <c r="L3" s="32"/>
      <c r="M3" s="32"/>
      <c r="N3" s="32"/>
      <c r="O3" s="32"/>
      <c r="P3" s="32"/>
      <c r="Q3" s="32"/>
      <c r="R3" s="32"/>
      <c r="S3" s="32"/>
      <c r="T3" s="32"/>
      <c r="U3" s="32"/>
    </row>
    <row r="4" spans="1:21">
      <c r="A4" s="22">
        <v>2</v>
      </c>
      <c r="B4" t="s">
        <v>23</v>
      </c>
      <c r="C4" s="22"/>
      <c r="D4" s="22" t="s">
        <v>24</v>
      </c>
      <c r="F4" t="s">
        <v>25</v>
      </c>
      <c r="G4" s="96">
        <v>12</v>
      </c>
      <c r="H4" s="32"/>
      <c r="I4" s="32"/>
      <c r="J4" s="32"/>
      <c r="K4" s="32"/>
      <c r="L4" s="32"/>
      <c r="M4" s="32"/>
      <c r="N4" s="32"/>
      <c r="O4" s="32"/>
      <c r="P4" s="32"/>
      <c r="Q4" s="32"/>
      <c r="R4" s="32"/>
      <c r="S4" s="32"/>
      <c r="T4" s="32"/>
      <c r="U4" s="32"/>
    </row>
    <row r="5" spans="1:21">
      <c r="A5" s="22">
        <v>3</v>
      </c>
      <c r="B5" t="s">
        <v>26</v>
      </c>
      <c r="C5" s="22" t="s">
        <v>27</v>
      </c>
      <c r="D5" s="97">
        <v>998</v>
      </c>
      <c r="F5" t="s">
        <v>28</v>
      </c>
      <c r="G5" s="23">
        <v>22</v>
      </c>
      <c r="H5" s="32"/>
      <c r="I5" s="32"/>
      <c r="J5" s="32"/>
      <c r="K5" s="32"/>
      <c r="L5" s="32"/>
      <c r="M5" s="32"/>
      <c r="N5" s="32"/>
      <c r="O5" s="32"/>
      <c r="P5" s="32"/>
      <c r="Q5" s="32"/>
      <c r="R5" s="32"/>
      <c r="S5" s="32"/>
      <c r="T5" s="32"/>
      <c r="U5" s="32"/>
    </row>
    <row r="6" spans="1:21">
      <c r="A6" s="22">
        <v>4</v>
      </c>
      <c r="B6" t="s">
        <v>29</v>
      </c>
      <c r="C6" s="22" t="s">
        <v>30</v>
      </c>
      <c r="D6" s="22" t="s">
        <v>31</v>
      </c>
      <c r="F6" t="s">
        <v>32</v>
      </c>
      <c r="G6" s="98">
        <v>0.03</v>
      </c>
      <c r="H6" s="32"/>
      <c r="I6" s="32"/>
      <c r="J6" s="32"/>
      <c r="K6" s="32"/>
      <c r="L6" s="32"/>
      <c r="M6" s="32"/>
      <c r="N6" s="32"/>
      <c r="O6" s="32"/>
      <c r="P6" s="32"/>
      <c r="Q6" s="32"/>
      <c r="R6" s="32"/>
      <c r="S6" s="32"/>
      <c r="T6" s="32"/>
      <c r="U6" s="32"/>
    </row>
    <row r="7" spans="1:21">
      <c r="A7" s="22">
        <v>5</v>
      </c>
      <c r="B7" t="s">
        <v>33</v>
      </c>
      <c r="C7" s="22"/>
      <c r="D7" s="22" t="s">
        <v>34</v>
      </c>
      <c r="H7" s="32"/>
      <c r="I7" s="32"/>
      <c r="J7" s="32"/>
      <c r="K7" s="32"/>
      <c r="L7" s="32"/>
      <c r="M7" s="32"/>
      <c r="N7" s="32"/>
      <c r="O7" s="32"/>
      <c r="P7" s="32"/>
      <c r="Q7" s="32"/>
      <c r="R7" s="32"/>
      <c r="S7" s="32"/>
      <c r="T7" s="32"/>
      <c r="U7" s="32"/>
    </row>
    <row r="8" spans="1:21">
      <c r="F8" s="186" t="s">
        <v>35</v>
      </c>
      <c r="G8" s="186"/>
      <c r="H8" s="32"/>
      <c r="I8" s="32"/>
      <c r="J8" s="32"/>
      <c r="K8" s="32"/>
      <c r="L8" s="32"/>
      <c r="M8" s="32"/>
      <c r="N8" s="32"/>
      <c r="O8" s="32"/>
      <c r="P8" s="32"/>
      <c r="Q8" s="32"/>
      <c r="R8" s="32"/>
      <c r="S8" s="32"/>
      <c r="T8" s="32"/>
      <c r="U8" s="32"/>
    </row>
    <row r="9" spans="1:21">
      <c r="A9" s="183" t="s">
        <v>36</v>
      </c>
      <c r="B9" s="183"/>
      <c r="C9" s="183"/>
      <c r="D9" s="183"/>
      <c r="F9" s="2" t="s">
        <v>37</v>
      </c>
      <c r="G9" s="2" t="s">
        <v>38</v>
      </c>
      <c r="H9" s="32"/>
      <c r="I9" s="32"/>
      <c r="J9" s="32"/>
      <c r="K9" s="32"/>
      <c r="L9" s="32"/>
      <c r="M9" s="32"/>
      <c r="N9" s="32"/>
      <c r="O9" s="32"/>
      <c r="P9" s="32"/>
      <c r="Q9" s="32"/>
      <c r="R9" s="32"/>
      <c r="S9" s="32"/>
      <c r="T9" s="32"/>
      <c r="U9" s="32"/>
    </row>
    <row r="10" spans="1:21">
      <c r="A10" s="22" t="s">
        <v>39</v>
      </c>
      <c r="B10" s="2" t="s">
        <v>40</v>
      </c>
      <c r="C10" s="22" t="s">
        <v>18</v>
      </c>
      <c r="D10" s="22" t="s">
        <v>19</v>
      </c>
      <c r="F10" t="s">
        <v>41</v>
      </c>
      <c r="G10" s="27">
        <v>0.43369999999999997</v>
      </c>
      <c r="H10" s="32"/>
      <c r="I10" s="32"/>
      <c r="J10" s="32"/>
      <c r="K10" s="32"/>
      <c r="L10" s="32"/>
      <c r="M10" s="32"/>
      <c r="N10" s="32"/>
      <c r="O10" s="32"/>
      <c r="P10" s="32"/>
      <c r="Q10" s="32"/>
      <c r="R10" s="32"/>
      <c r="S10" s="32"/>
      <c r="T10" s="32"/>
      <c r="U10" s="32"/>
    </row>
    <row r="11" spans="1:21">
      <c r="A11" s="22" t="s">
        <v>42</v>
      </c>
      <c r="B11" t="s">
        <v>43</v>
      </c>
      <c r="C11" s="22"/>
      <c r="D11" s="28">
        <f>Salário_Normativo_da_Categoria_Profissional</f>
        <v>998</v>
      </c>
      <c r="F11" t="s">
        <v>44</v>
      </c>
      <c r="G11" s="27">
        <v>0.43369999999999997</v>
      </c>
      <c r="H11" s="32"/>
      <c r="I11" s="32"/>
      <c r="J11" s="32"/>
      <c r="K11" s="32"/>
      <c r="L11" s="32"/>
      <c r="M11" s="32"/>
      <c r="N11" s="32"/>
      <c r="O11" s="32"/>
      <c r="P11" s="32"/>
      <c r="Q11" s="32"/>
      <c r="R11" s="32"/>
      <c r="S11" s="32"/>
      <c r="T11" s="32"/>
      <c r="U11" s="32"/>
    </row>
    <row r="12" spans="1:21">
      <c r="A12" s="22" t="s">
        <v>45</v>
      </c>
      <c r="B12" t="s">
        <v>46</v>
      </c>
      <c r="C12" s="22"/>
      <c r="D12" s="28"/>
      <c r="F12" t="s">
        <v>47</v>
      </c>
      <c r="G12" s="27">
        <v>2.18E-2</v>
      </c>
      <c r="H12" s="32"/>
      <c r="I12" s="32"/>
      <c r="J12" s="32"/>
      <c r="K12" s="32"/>
      <c r="L12" s="32"/>
      <c r="M12" s="32"/>
      <c r="N12" s="32"/>
      <c r="O12" s="32"/>
      <c r="P12" s="32"/>
      <c r="Q12" s="32"/>
      <c r="R12" s="32"/>
      <c r="S12" s="32"/>
      <c r="T12" s="32"/>
      <c r="U12" s="32"/>
    </row>
    <row r="13" spans="1:21">
      <c r="A13" s="22" t="s">
        <v>48</v>
      </c>
      <c r="B13" t="s">
        <v>49</v>
      </c>
      <c r="C13" s="22"/>
      <c r="D13" s="28"/>
      <c r="H13" s="32"/>
      <c r="I13" s="32"/>
      <c r="J13" s="32"/>
      <c r="K13" s="32"/>
      <c r="L13" s="32"/>
      <c r="M13" s="32"/>
      <c r="N13" s="32"/>
      <c r="O13" s="32"/>
      <c r="P13" s="32"/>
      <c r="Q13" s="32"/>
      <c r="R13" s="32"/>
      <c r="S13" s="32"/>
      <c r="T13" s="32"/>
      <c r="U13" s="32"/>
    </row>
    <row r="14" spans="1:21">
      <c r="A14" s="22" t="s">
        <v>50</v>
      </c>
      <c r="B14" t="s">
        <v>51</v>
      </c>
      <c r="C14" s="22"/>
      <c r="D14" s="28"/>
      <c r="F14" s="186" t="s">
        <v>52</v>
      </c>
      <c r="G14" s="186"/>
      <c r="H14" s="32"/>
      <c r="I14" s="32"/>
      <c r="J14" s="32"/>
      <c r="K14" s="32"/>
      <c r="L14" s="32"/>
      <c r="M14" s="32"/>
      <c r="N14" s="32"/>
      <c r="O14" s="32"/>
      <c r="P14" s="32"/>
      <c r="Q14" s="32"/>
      <c r="R14" s="32"/>
      <c r="S14" s="32"/>
      <c r="T14" s="32"/>
      <c r="U14" s="32"/>
    </row>
    <row r="15" spans="1:21">
      <c r="A15" s="22" t="s">
        <v>53</v>
      </c>
      <c r="B15" t="s">
        <v>54</v>
      </c>
      <c r="C15" s="22"/>
      <c r="D15" s="28"/>
      <c r="F15" s="99" t="s">
        <v>17</v>
      </c>
      <c r="G15" s="99" t="s">
        <v>38</v>
      </c>
      <c r="H15" s="32"/>
      <c r="I15" s="32"/>
      <c r="J15" s="32"/>
      <c r="K15" s="32"/>
      <c r="L15" s="32"/>
      <c r="M15" s="32"/>
      <c r="N15" s="32"/>
      <c r="O15" s="32"/>
      <c r="P15" s="32"/>
      <c r="Q15" s="32"/>
      <c r="R15" s="32"/>
      <c r="S15" s="32"/>
      <c r="T15" s="32"/>
      <c r="U15" s="32"/>
    </row>
    <row r="16" spans="1:21">
      <c r="A16" s="22" t="s">
        <v>55</v>
      </c>
      <c r="B16" t="s">
        <v>56</v>
      </c>
      <c r="C16" s="22"/>
      <c r="D16" s="28"/>
      <c r="F16" s="32" t="s">
        <v>57</v>
      </c>
      <c r="G16" s="100">
        <v>4.7100000000000003E-2</v>
      </c>
      <c r="H16" s="32"/>
      <c r="I16" s="32"/>
      <c r="J16" s="32"/>
      <c r="K16" s="32"/>
      <c r="L16" s="32"/>
      <c r="M16" s="32"/>
      <c r="N16" s="32"/>
      <c r="O16" s="32"/>
      <c r="P16" s="32"/>
      <c r="Q16" s="32"/>
      <c r="R16" s="32"/>
      <c r="S16" s="32"/>
      <c r="T16" s="32"/>
      <c r="U16" s="32"/>
    </row>
    <row r="17" spans="1:21">
      <c r="A17" s="22" t="s">
        <v>58</v>
      </c>
      <c r="C17" s="22"/>
      <c r="D17" s="28">
        <f ca="1">SUBTOTAL(109,Módulo1[Valor])</f>
        <v>998</v>
      </c>
      <c r="F17" s="32" t="s">
        <v>59</v>
      </c>
      <c r="G17" s="100">
        <v>4.6699999999999998E-2</v>
      </c>
      <c r="H17" s="32"/>
      <c r="I17" s="32"/>
      <c r="J17" s="32"/>
      <c r="K17" s="32"/>
      <c r="L17" s="32"/>
      <c r="M17" s="32"/>
      <c r="N17" s="32"/>
      <c r="O17" s="32"/>
      <c r="P17" s="32"/>
      <c r="Q17" s="32"/>
      <c r="R17" s="32"/>
      <c r="S17" s="32"/>
      <c r="T17" s="32"/>
      <c r="U17" s="32"/>
    </row>
    <row r="18" spans="1:21">
      <c r="F18" s="32" t="s">
        <v>60</v>
      </c>
      <c r="G18" s="101">
        <v>1.6500000000000001E-2</v>
      </c>
      <c r="H18" s="32"/>
      <c r="I18" s="32"/>
      <c r="J18" s="32"/>
      <c r="K18" s="32"/>
      <c r="L18" s="32"/>
      <c r="M18" s="32"/>
      <c r="N18" s="32"/>
      <c r="O18" s="32"/>
      <c r="P18" s="32"/>
      <c r="Q18" s="32"/>
      <c r="R18" s="32"/>
      <c r="S18" s="32"/>
      <c r="T18" s="32"/>
      <c r="U18" s="32"/>
    </row>
    <row r="19" spans="1:21">
      <c r="A19" s="187" t="s">
        <v>61</v>
      </c>
      <c r="B19" s="187"/>
      <c r="C19" s="187"/>
      <c r="D19" s="187"/>
      <c r="F19" s="32" t="s">
        <v>62</v>
      </c>
      <c r="G19" s="101">
        <v>7.5999999999999998E-2</v>
      </c>
      <c r="H19" s="32"/>
      <c r="I19" s="32"/>
      <c r="J19" s="32"/>
      <c r="K19" s="32"/>
      <c r="L19" s="32"/>
      <c r="M19" s="32"/>
      <c r="N19" s="32"/>
      <c r="O19" s="32"/>
      <c r="P19" s="32"/>
      <c r="Q19" s="32"/>
      <c r="R19" s="32"/>
      <c r="S19" s="32"/>
      <c r="T19" s="32"/>
      <c r="U19" s="32"/>
    </row>
    <row r="20" spans="1:21">
      <c r="A20" s="186" t="s">
        <v>63</v>
      </c>
      <c r="B20" s="186"/>
      <c r="C20" s="186"/>
      <c r="D20" s="186"/>
      <c r="F20" s="32" t="s">
        <v>64</v>
      </c>
      <c r="G20" s="101">
        <v>0.05</v>
      </c>
      <c r="H20" s="32"/>
      <c r="I20" s="32"/>
      <c r="J20" s="32"/>
      <c r="K20" s="32"/>
      <c r="L20" s="32"/>
      <c r="M20" s="32"/>
      <c r="N20" s="32"/>
      <c r="O20" s="32"/>
      <c r="P20" s="32"/>
      <c r="Q20" s="32"/>
      <c r="R20" s="32"/>
      <c r="S20" s="32"/>
      <c r="T20" s="32"/>
      <c r="U20" s="32"/>
    </row>
    <row r="21" spans="1:21">
      <c r="A21" s="22" t="s">
        <v>65</v>
      </c>
      <c r="B21" s="2" t="s">
        <v>66</v>
      </c>
      <c r="C21" s="22" t="s">
        <v>18</v>
      </c>
      <c r="D21" s="22" t="s">
        <v>19</v>
      </c>
      <c r="F21" s="32"/>
      <c r="G21" s="32"/>
      <c r="H21" s="32"/>
      <c r="I21" s="32"/>
      <c r="J21" s="32"/>
      <c r="K21" s="32"/>
      <c r="L21" s="32"/>
      <c r="M21" s="32"/>
      <c r="N21" s="32"/>
      <c r="O21" s="32"/>
      <c r="P21" s="32"/>
      <c r="Q21" s="32"/>
      <c r="R21" s="32"/>
      <c r="S21" s="32"/>
      <c r="T21" s="32"/>
      <c r="U21" s="32"/>
    </row>
    <row r="22" spans="1:21">
      <c r="A22" s="22" t="s">
        <v>42</v>
      </c>
      <c r="B22" t="s">
        <v>67</v>
      </c>
      <c r="D22" s="28" t="e">
        <f>Módulo1[[#Totals],[Valor]]/12</f>
        <v>#REF!</v>
      </c>
      <c r="F22" s="32"/>
      <c r="G22" s="32"/>
      <c r="H22" s="32"/>
      <c r="I22" s="32"/>
      <c r="J22" s="32"/>
      <c r="K22" s="32"/>
      <c r="L22" s="32"/>
      <c r="M22" s="32"/>
      <c r="N22" s="32"/>
      <c r="O22" s="32"/>
      <c r="P22" s="32"/>
      <c r="Q22" s="32"/>
      <c r="R22" s="32"/>
      <c r="S22" s="32"/>
      <c r="T22" s="32"/>
      <c r="U22" s="32"/>
    </row>
    <row r="23" spans="1:21">
      <c r="A23" s="22" t="s">
        <v>45</v>
      </c>
      <c r="B23" t="s">
        <v>68</v>
      </c>
      <c r="D23" s="28" t="e">
        <f>(Módulo1[[#Totals],[Valor]]/12)*(1+(1/3))</f>
        <v>#REF!</v>
      </c>
      <c r="F23" s="32"/>
      <c r="G23" s="32"/>
      <c r="H23" s="32"/>
      <c r="I23" s="32"/>
      <c r="J23" s="32"/>
      <c r="K23" s="32"/>
      <c r="L23" s="32"/>
      <c r="M23" s="32"/>
      <c r="N23" s="32"/>
      <c r="O23" s="32"/>
      <c r="P23" s="32"/>
      <c r="Q23" s="32"/>
      <c r="R23" s="32"/>
      <c r="S23" s="32"/>
      <c r="T23" s="32"/>
      <c r="U23" s="32"/>
    </row>
    <row r="24" spans="1:21">
      <c r="A24" s="22" t="s">
        <v>58</v>
      </c>
      <c r="D24" s="28" t="e">
        <f>SUBTOTAL(109,Submódulo2.1[Valor])</f>
        <v>#REF!</v>
      </c>
      <c r="F24" s="32"/>
      <c r="G24" s="32"/>
      <c r="H24" s="32"/>
      <c r="I24" s="32"/>
      <c r="J24" s="32"/>
      <c r="K24" s="32"/>
      <c r="L24" s="32"/>
      <c r="M24" s="32"/>
      <c r="N24" s="32"/>
      <c r="O24" s="32"/>
      <c r="P24" s="32"/>
      <c r="Q24" s="32"/>
      <c r="R24" s="32"/>
      <c r="S24" s="32"/>
      <c r="T24" s="32"/>
      <c r="U24" s="32"/>
    </row>
    <row r="25" spans="1:21">
      <c r="A25" s="22"/>
      <c r="D25" s="28"/>
      <c r="F25" s="32"/>
      <c r="G25" s="32"/>
      <c r="H25" s="32"/>
      <c r="I25" s="32"/>
      <c r="J25" s="32"/>
      <c r="K25" s="32"/>
      <c r="L25" s="32"/>
      <c r="M25" s="32"/>
      <c r="N25" s="32"/>
      <c r="O25" s="32"/>
      <c r="P25" s="32"/>
      <c r="Q25" s="32"/>
      <c r="R25" s="32"/>
      <c r="S25" s="32"/>
      <c r="T25" s="32"/>
      <c r="U25" s="32"/>
    </row>
    <row r="26" spans="1:21">
      <c r="A26" s="184" t="s">
        <v>69</v>
      </c>
      <c r="B26" s="184"/>
      <c r="C26" s="184"/>
      <c r="D26" s="184"/>
      <c r="F26" s="32"/>
      <c r="G26" s="32"/>
      <c r="H26" s="32"/>
      <c r="I26" s="32"/>
      <c r="J26" s="32"/>
      <c r="K26" s="32"/>
      <c r="L26" s="32"/>
      <c r="M26" s="32"/>
      <c r="N26" s="32"/>
      <c r="O26" s="32"/>
      <c r="P26" s="32"/>
      <c r="Q26" s="32"/>
      <c r="R26" s="32"/>
      <c r="S26" s="32"/>
      <c r="T26" s="32"/>
      <c r="U26" s="32"/>
    </row>
    <row r="27" spans="1:21">
      <c r="A27" s="30" t="s">
        <v>16</v>
      </c>
      <c r="B27" s="30" t="s">
        <v>70</v>
      </c>
      <c r="C27" s="30" t="s">
        <v>71</v>
      </c>
      <c r="D27" s="102" t="s">
        <v>72</v>
      </c>
      <c r="F27" s="32"/>
      <c r="G27" s="32"/>
      <c r="H27" s="32"/>
      <c r="I27" s="32"/>
      <c r="J27" s="32"/>
      <c r="K27" s="32"/>
      <c r="L27" s="32"/>
      <c r="M27" s="32"/>
      <c r="N27" s="32"/>
      <c r="O27" s="32"/>
      <c r="P27" s="32"/>
      <c r="Q27" s="32"/>
      <c r="R27" s="32"/>
      <c r="S27" s="32"/>
      <c r="T27" s="32"/>
      <c r="U27" s="32"/>
    </row>
    <row r="28" spans="1:21" ht="30">
      <c r="A28" s="21" t="s">
        <v>42</v>
      </c>
      <c r="B28" s="103" t="s">
        <v>73</v>
      </c>
      <c r="C28" s="104" t="s">
        <v>74</v>
      </c>
      <c r="D28" s="103" t="s">
        <v>75</v>
      </c>
      <c r="F28" s="32"/>
      <c r="G28" s="32"/>
      <c r="H28" s="32"/>
      <c r="I28" s="32"/>
      <c r="J28" s="32"/>
      <c r="K28" s="32"/>
      <c r="L28" s="32"/>
      <c r="M28" s="32"/>
      <c r="N28" s="32"/>
      <c r="O28" s="32"/>
      <c r="P28" s="32"/>
      <c r="Q28" s="32"/>
      <c r="R28" s="32"/>
      <c r="S28" s="32"/>
      <c r="T28" s="32"/>
      <c r="U28" s="32"/>
    </row>
    <row r="29" spans="1:21" ht="30">
      <c r="A29" s="21" t="s">
        <v>45</v>
      </c>
      <c r="B29" s="105" t="s">
        <v>68</v>
      </c>
      <c r="C29" s="104" t="s">
        <v>74</v>
      </c>
      <c r="D29" s="103" t="s">
        <v>76</v>
      </c>
      <c r="F29" s="32"/>
      <c r="G29" s="32"/>
      <c r="H29" s="32"/>
      <c r="I29" s="32"/>
      <c r="J29" s="32"/>
      <c r="K29" s="32"/>
      <c r="L29" s="32"/>
      <c r="M29" s="32"/>
      <c r="N29" s="32"/>
      <c r="O29" s="32"/>
      <c r="P29" s="32"/>
      <c r="Q29" s="32"/>
      <c r="R29" s="32"/>
      <c r="S29" s="32"/>
      <c r="T29" s="32"/>
      <c r="U29" s="32"/>
    </row>
    <row r="30" spans="1:21">
      <c r="A30" s="22"/>
      <c r="B30" s="22"/>
      <c r="C30" s="47"/>
      <c r="F30" s="32"/>
      <c r="G30" s="32"/>
      <c r="H30" s="32"/>
      <c r="I30" s="32"/>
      <c r="J30" s="32"/>
      <c r="K30" s="32"/>
      <c r="L30" s="32"/>
      <c r="M30" s="32"/>
      <c r="N30" s="32"/>
      <c r="O30" s="32"/>
      <c r="P30" s="32"/>
      <c r="Q30" s="32"/>
      <c r="R30" s="32"/>
      <c r="S30" s="32"/>
      <c r="T30" s="32"/>
      <c r="U30" s="32"/>
    </row>
    <row r="31" spans="1:21">
      <c r="A31" s="186" t="s">
        <v>77</v>
      </c>
      <c r="B31" s="186"/>
      <c r="C31" s="186"/>
      <c r="D31" s="186"/>
    </row>
    <row r="32" spans="1:21">
      <c r="A32" s="22" t="s">
        <v>78</v>
      </c>
      <c r="B32" s="2" t="s">
        <v>79</v>
      </c>
      <c r="C32" s="22" t="s">
        <v>38</v>
      </c>
      <c r="D32" s="22" t="s">
        <v>80</v>
      </c>
    </row>
    <row r="33" spans="1:4">
      <c r="A33" s="22" t="s">
        <v>42</v>
      </c>
      <c r="B33" t="s">
        <v>81</v>
      </c>
      <c r="C33" s="31">
        <v>0.2</v>
      </c>
      <c r="D33" s="28" t="e">
        <f>C33*(Módulo1[[#Totals],[Valor]]+Submódulo2.1[[#Totals],[Valor]])</f>
        <v>#REF!</v>
      </c>
    </row>
    <row r="34" spans="1:4">
      <c r="A34" s="22" t="s">
        <v>45</v>
      </c>
      <c r="B34" t="s">
        <v>82</v>
      </c>
      <c r="C34" s="31">
        <v>2.5000000000000001E-2</v>
      </c>
      <c r="D34" s="28" t="e">
        <f>C34*(Módulo1[[#Totals],[Valor]]+Submódulo2.1[[#Totals],[Valor]])</f>
        <v>#REF!</v>
      </c>
    </row>
    <row r="35" spans="1:4">
      <c r="A35" s="22" t="s">
        <v>48</v>
      </c>
      <c r="B35" t="s">
        <v>83</v>
      </c>
      <c r="C35" s="31">
        <f>Servente!G6</f>
        <v>0.03</v>
      </c>
      <c r="D35" s="28" t="e">
        <f>C35*(Módulo1[[#Totals],[Valor]]+Submódulo2.1[[#Totals],[Valor]])</f>
        <v>#REF!</v>
      </c>
    </row>
    <row r="36" spans="1:4">
      <c r="A36" s="22" t="s">
        <v>50</v>
      </c>
      <c r="B36" t="s">
        <v>84</v>
      </c>
      <c r="C36" s="31">
        <v>1.4999999999999999E-2</v>
      </c>
      <c r="D36" s="28" t="e">
        <f>C36*(Módulo1[[#Totals],[Valor]]+Submódulo2.1[[#Totals],[Valor]])</f>
        <v>#REF!</v>
      </c>
    </row>
    <row r="37" spans="1:4">
      <c r="A37" s="22" t="s">
        <v>53</v>
      </c>
      <c r="B37" t="s">
        <v>85</v>
      </c>
      <c r="C37" s="31">
        <v>0.01</v>
      </c>
      <c r="D37" s="28" t="e">
        <f>C37*(Módulo1[[#Totals],[Valor]]+Submódulo2.1[[#Totals],[Valor]])</f>
        <v>#REF!</v>
      </c>
    </row>
    <row r="38" spans="1:4">
      <c r="A38" s="22" t="s">
        <v>55</v>
      </c>
      <c r="B38" t="s">
        <v>86</v>
      </c>
      <c r="C38" s="31">
        <v>6.0000000000000001E-3</v>
      </c>
      <c r="D38" s="28" t="e">
        <f>C38*(Módulo1[[#Totals],[Valor]]+Submódulo2.1[[#Totals],[Valor]])</f>
        <v>#REF!</v>
      </c>
    </row>
    <row r="39" spans="1:4">
      <c r="A39" s="22" t="s">
        <v>87</v>
      </c>
      <c r="B39" t="s">
        <v>88</v>
      </c>
      <c r="C39" s="31">
        <v>2E-3</v>
      </c>
      <c r="D39" s="28" t="e">
        <f>C39*(Módulo1[[#Totals],[Valor]]+Submódulo2.1[[#Totals],[Valor]])</f>
        <v>#REF!</v>
      </c>
    </row>
    <row r="40" spans="1:4">
      <c r="A40" s="22" t="s">
        <v>89</v>
      </c>
      <c r="B40" t="s">
        <v>90</v>
      </c>
      <c r="C40" s="31">
        <v>0.08</v>
      </c>
      <c r="D40" s="28" t="e">
        <f>C40*(Módulo1[[#Totals],[Valor]]+Submódulo2.1[[#Totals],[Valor]])</f>
        <v>#REF!</v>
      </c>
    </row>
    <row r="41" spans="1:4">
      <c r="A41" s="22" t="s">
        <v>58</v>
      </c>
      <c r="C41" s="37">
        <f ca="1">SUBTOTAL(109,Submódulo2.2[Percentual])</f>
        <v>0.36800000000000005</v>
      </c>
      <c r="D41" s="28" t="e">
        <f>SUBTOTAL(109,Submódulo2.2[[Valor ]])</f>
        <v>#REF!</v>
      </c>
    </row>
    <row r="42" spans="1:4">
      <c r="A42" s="22"/>
      <c r="C42" s="37"/>
      <c r="D42" s="28"/>
    </row>
    <row r="43" spans="1:4">
      <c r="A43" s="184" t="s">
        <v>91</v>
      </c>
      <c r="B43" s="184"/>
      <c r="C43" s="184"/>
      <c r="D43" s="184"/>
    </row>
    <row r="44" spans="1:4">
      <c r="A44" s="30" t="s">
        <v>16</v>
      </c>
      <c r="B44" s="30" t="s">
        <v>70</v>
      </c>
      <c r="C44" s="30" t="s">
        <v>71</v>
      </c>
      <c r="D44" s="102" t="s">
        <v>72</v>
      </c>
    </row>
    <row r="45" spans="1:4" ht="30">
      <c r="A45" s="21" t="s">
        <v>92</v>
      </c>
      <c r="B45" s="103" t="s">
        <v>79</v>
      </c>
      <c r="C45" s="103" t="s">
        <v>93</v>
      </c>
      <c r="D45" s="103" t="s">
        <v>94</v>
      </c>
    </row>
    <row r="47" spans="1:4">
      <c r="A47" s="186" t="s">
        <v>95</v>
      </c>
      <c r="B47" s="186"/>
      <c r="C47" s="186"/>
      <c r="D47" s="186"/>
    </row>
    <row r="48" spans="1:4">
      <c r="A48" s="22" t="s">
        <v>96</v>
      </c>
      <c r="B48" s="2" t="s">
        <v>97</v>
      </c>
      <c r="C48" s="22" t="s">
        <v>18</v>
      </c>
      <c r="D48" s="22" t="s">
        <v>19</v>
      </c>
    </row>
    <row r="49" spans="1:4">
      <c r="A49" s="22" t="s">
        <v>42</v>
      </c>
      <c r="B49" t="s">
        <v>98</v>
      </c>
      <c r="D49" s="28">
        <f>IF(G3=0,0,(Servente!G3*2*Servente!G5)-(6%*_1A))</f>
        <v>0</v>
      </c>
    </row>
    <row r="50" spans="1:4">
      <c r="A50" s="22" t="s">
        <v>45</v>
      </c>
      <c r="B50" t="s">
        <v>99</v>
      </c>
      <c r="D50" s="28">
        <f>(Servente!G4*Servente!G5)*80%</f>
        <v>211.20000000000002</v>
      </c>
    </row>
    <row r="51" spans="1:4">
      <c r="A51" s="22" t="s">
        <v>48</v>
      </c>
      <c r="B51" t="s">
        <v>100</v>
      </c>
      <c r="D51" s="28"/>
    </row>
    <row r="52" spans="1:4">
      <c r="A52" s="22" t="s">
        <v>50</v>
      </c>
      <c r="B52" t="s">
        <v>56</v>
      </c>
      <c r="D52" s="28"/>
    </row>
    <row r="53" spans="1:4">
      <c r="A53" s="22" t="s">
        <v>58</v>
      </c>
      <c r="D53" s="28">
        <v>211.2</v>
      </c>
    </row>
    <row r="54" spans="1:4">
      <c r="A54" s="22"/>
      <c r="D54" s="28"/>
    </row>
    <row r="55" spans="1:4">
      <c r="A55" s="184" t="s">
        <v>101</v>
      </c>
      <c r="B55" s="184"/>
      <c r="C55" s="184"/>
      <c r="D55" s="184"/>
    </row>
    <row r="56" spans="1:4">
      <c r="A56" s="30" t="s">
        <v>16</v>
      </c>
      <c r="B56" s="30" t="s">
        <v>70</v>
      </c>
      <c r="C56" s="30" t="s">
        <v>71</v>
      </c>
      <c r="D56" s="30" t="s">
        <v>72</v>
      </c>
    </row>
    <row r="57" spans="1:4" ht="45">
      <c r="A57" s="21" t="s">
        <v>42</v>
      </c>
      <c r="B57" s="103" t="s">
        <v>98</v>
      </c>
      <c r="C57" s="104" t="s">
        <v>102</v>
      </c>
      <c r="D57" s="104" t="s">
        <v>103</v>
      </c>
    </row>
    <row r="58" spans="1:4" ht="30">
      <c r="A58" s="21" t="s">
        <v>45</v>
      </c>
      <c r="B58" s="105" t="s">
        <v>99</v>
      </c>
      <c r="C58" s="104" t="s">
        <v>102</v>
      </c>
      <c r="D58" s="104" t="s">
        <v>104</v>
      </c>
    </row>
    <row r="59" spans="1:4" ht="19.5" customHeight="1">
      <c r="A59" s="22"/>
      <c r="D59" s="28"/>
    </row>
    <row r="60" spans="1:4">
      <c r="A60" s="186" t="s">
        <v>105</v>
      </c>
      <c r="B60" s="186"/>
      <c r="C60" s="186"/>
      <c r="D60" s="186"/>
    </row>
    <row r="61" spans="1:4">
      <c r="A61" s="22" t="s">
        <v>106</v>
      </c>
      <c r="B61" s="2" t="s">
        <v>107</v>
      </c>
      <c r="C61" s="22" t="s">
        <v>18</v>
      </c>
      <c r="D61" s="22" t="s">
        <v>19</v>
      </c>
    </row>
    <row r="62" spans="1:4">
      <c r="A62" s="22" t="s">
        <v>65</v>
      </c>
      <c r="B62" t="s">
        <v>66</v>
      </c>
      <c r="C62" s="22"/>
      <c r="D62" s="28" t="e">
        <f>Submódulo2.1[[#Totals],[Valor]]</f>
        <v>#REF!</v>
      </c>
    </row>
    <row r="63" spans="1:4">
      <c r="A63" s="22" t="s">
        <v>78</v>
      </c>
      <c r="B63" t="s">
        <v>79</v>
      </c>
      <c r="C63" s="22"/>
      <c r="D63" s="28" t="e">
        <f>Submódulo2.2[[#Totals],[Valor ]]</f>
        <v>#REF!</v>
      </c>
    </row>
    <row r="64" spans="1:4">
      <c r="A64" s="22" t="s">
        <v>96</v>
      </c>
      <c r="B64" t="s">
        <v>97</v>
      </c>
      <c r="C64" s="22"/>
      <c r="D64" s="28" t="e">
        <f>Submódulo2.3[[#Totals],[Valor]]</f>
        <v>#REF!</v>
      </c>
    </row>
    <row r="65" spans="1:4">
      <c r="A65" s="22" t="s">
        <v>58</v>
      </c>
      <c r="C65" s="22"/>
      <c r="D65" s="28">
        <v>843.93200000000002</v>
      </c>
    </row>
    <row r="67" spans="1:4">
      <c r="A67" s="183" t="s">
        <v>108</v>
      </c>
      <c r="B67" s="183"/>
      <c r="C67" s="183"/>
      <c r="D67" s="183"/>
    </row>
    <row r="68" spans="1:4">
      <c r="A68" s="22" t="s">
        <v>109</v>
      </c>
      <c r="B68" s="2" t="s">
        <v>110</v>
      </c>
      <c r="C68" s="22" t="s">
        <v>18</v>
      </c>
      <c r="D68" s="22" t="s">
        <v>19</v>
      </c>
    </row>
    <row r="69" spans="1:4">
      <c r="A69" s="22" t="s">
        <v>42</v>
      </c>
      <c r="B69" t="s">
        <v>111</v>
      </c>
      <c r="D69" s="28" t="e">
        <f>((Módulo1[[#Totals],[Valor]]+D62+D64)/12)*Servente!G10</f>
        <v>#REF!</v>
      </c>
    </row>
    <row r="70" spans="1:4">
      <c r="A70" s="22" t="s">
        <v>45</v>
      </c>
      <c r="B70" t="s">
        <v>112</v>
      </c>
      <c r="D70" s="28" t="e">
        <f>(D40/12)*Servente!G10</f>
        <v>#REF!</v>
      </c>
    </row>
    <row r="71" spans="1:4">
      <c r="A71" s="22" t="s">
        <v>48</v>
      </c>
      <c r="B71" t="s">
        <v>113</v>
      </c>
      <c r="D71" s="28" t="e">
        <f>D40*50%*Servente!G10</f>
        <v>#REF!</v>
      </c>
    </row>
    <row r="72" spans="1:4">
      <c r="A72" s="22" t="s">
        <v>50</v>
      </c>
      <c r="B72" t="s">
        <v>114</v>
      </c>
      <c r="D72" s="28" t="e">
        <f>((Módulo1[[#Totals],[Valor]]+ResumoMódulo2[[#Totals],[Valor]])/12)*Servente!G11</f>
        <v>#REF!</v>
      </c>
    </row>
    <row r="73" spans="1:4">
      <c r="A73" s="22" t="s">
        <v>53</v>
      </c>
      <c r="B73" t="s">
        <v>115</v>
      </c>
      <c r="D73" s="28" t="e">
        <f>D40*50%*Servente!G11</f>
        <v>#REF!</v>
      </c>
    </row>
    <row r="74" spans="1:4">
      <c r="A74" s="22" t="s">
        <v>55</v>
      </c>
      <c r="B74" t="s">
        <v>116</v>
      </c>
      <c r="D74" s="28" t="e">
        <f>-D62*Servente!G12</f>
        <v>#REF!</v>
      </c>
    </row>
    <row r="75" spans="1:4">
      <c r="A75" s="22" t="s">
        <v>58</v>
      </c>
      <c r="D75" s="28" t="e">
        <f>SUBTOTAL(109,Módulo3[Valor])</f>
        <v>#REF!</v>
      </c>
    </row>
    <row r="76" spans="1:4">
      <c r="A76" s="22"/>
      <c r="D76" s="28"/>
    </row>
    <row r="77" spans="1:4">
      <c r="A77" s="184" t="s">
        <v>117</v>
      </c>
      <c r="B77" s="184"/>
      <c r="C77" s="184"/>
      <c r="D77" s="184"/>
    </row>
    <row r="78" spans="1:4">
      <c r="A78" s="30" t="s">
        <v>16</v>
      </c>
      <c r="B78" s="30" t="s">
        <v>70</v>
      </c>
      <c r="C78" s="30" t="s">
        <v>71</v>
      </c>
      <c r="D78" s="30" t="s">
        <v>72</v>
      </c>
    </row>
    <row r="79" spans="1:4" ht="60">
      <c r="A79" s="21" t="s">
        <v>42</v>
      </c>
      <c r="B79" s="103" t="s">
        <v>111</v>
      </c>
      <c r="C79" s="104" t="s">
        <v>118</v>
      </c>
      <c r="D79" s="104" t="s">
        <v>119</v>
      </c>
    </row>
    <row r="80" spans="1:4" ht="60">
      <c r="A80" s="21" t="s">
        <v>45</v>
      </c>
      <c r="B80" s="105" t="s">
        <v>112</v>
      </c>
      <c r="C80" s="104" t="s">
        <v>120</v>
      </c>
      <c r="D80" s="104" t="s">
        <v>119</v>
      </c>
    </row>
    <row r="81" spans="1:4" ht="75">
      <c r="A81" s="21" t="s">
        <v>48</v>
      </c>
      <c r="B81" s="105" t="s">
        <v>113</v>
      </c>
      <c r="C81" s="104" t="s">
        <v>120</v>
      </c>
      <c r="D81" s="106" t="s">
        <v>121</v>
      </c>
    </row>
    <row r="82" spans="1:4" ht="60">
      <c r="A82" s="21" t="s">
        <v>50</v>
      </c>
      <c r="B82" s="40" t="s">
        <v>114</v>
      </c>
      <c r="C82" s="104" t="s">
        <v>122</v>
      </c>
      <c r="D82" s="106" t="s">
        <v>123</v>
      </c>
    </row>
    <row r="83" spans="1:4" ht="75">
      <c r="A83" s="21" t="s">
        <v>53</v>
      </c>
      <c r="B83" s="40" t="s">
        <v>115</v>
      </c>
      <c r="C83" s="104" t="s">
        <v>120</v>
      </c>
      <c r="D83" s="106" t="s">
        <v>124</v>
      </c>
    </row>
    <row r="84" spans="1:4" ht="60">
      <c r="A84" s="21" t="s">
        <v>55</v>
      </c>
      <c r="B84" s="40" t="s">
        <v>116</v>
      </c>
      <c r="C84" s="104" t="s">
        <v>125</v>
      </c>
      <c r="D84" s="106" t="s">
        <v>126</v>
      </c>
    </row>
    <row r="86" spans="1:4" ht="15" customHeight="1">
      <c r="A86" s="185" t="s">
        <v>127</v>
      </c>
      <c r="B86" s="185"/>
      <c r="C86" s="185"/>
      <c r="D86" s="185"/>
    </row>
    <row r="87" spans="1:4">
      <c r="A87" s="186" t="s">
        <v>128</v>
      </c>
      <c r="B87" s="186"/>
      <c r="C87" s="186"/>
      <c r="D87" s="186"/>
    </row>
    <row r="88" spans="1:4">
      <c r="A88" s="22" t="s">
        <v>129</v>
      </c>
      <c r="B88" s="2" t="s">
        <v>130</v>
      </c>
      <c r="C88" s="22" t="s">
        <v>131</v>
      </c>
      <c r="D88" s="22" t="s">
        <v>19</v>
      </c>
    </row>
    <row r="89" spans="1:4">
      <c r="A89" s="22" t="s">
        <v>42</v>
      </c>
      <c r="B89" t="s">
        <v>132</v>
      </c>
      <c r="C89" s="22">
        <v>20.71</v>
      </c>
      <c r="D89" s="28" t="e">
        <f>(((Módulo1[[#Totals],[Valor]]+ResumoMódulo2[[#Totals],[Valor]]+Módulo3[[#Totals],[Valor]])/30)*C89)/12</f>
        <v>#REF!</v>
      </c>
    </row>
    <row r="90" spans="1:4">
      <c r="A90" s="22" t="s">
        <v>45</v>
      </c>
      <c r="B90" t="s">
        <v>133</v>
      </c>
      <c r="C90" s="22">
        <v>1.4180999999999999</v>
      </c>
      <c r="D90" s="28" t="e">
        <f>(((Módulo1[[#Totals],[Valor]]+ResumoMódulo2[[#Totals],[Valor]]+Módulo3[[#Totals],[Valor]])/30)*C90)/12</f>
        <v>#REF!</v>
      </c>
    </row>
    <row r="91" spans="1:4">
      <c r="A91" s="22" t="s">
        <v>48</v>
      </c>
      <c r="B91" t="s">
        <v>134</v>
      </c>
      <c r="C91" s="22">
        <v>0.1898</v>
      </c>
      <c r="D91" s="28" t="e">
        <f>(((Módulo1[[#Totals],[Valor]]+ResumoMódulo2[[#Totals],[Valor]]+Módulo3[[#Totals],[Valor]])/30)*C91)/12</f>
        <v>#REF!</v>
      </c>
    </row>
    <row r="92" spans="1:4">
      <c r="A92" s="22" t="s">
        <v>50</v>
      </c>
      <c r="B92" t="s">
        <v>135</v>
      </c>
      <c r="C92" s="22">
        <v>0.95450000000000002</v>
      </c>
      <c r="D92" s="28" t="e">
        <f>(((Módulo1[[#Totals],[Valor]]+ResumoMódulo2[[#Totals],[Valor]]+Módulo3[[#Totals],[Valor]])/30)*C92)/12</f>
        <v>#REF!</v>
      </c>
    </row>
    <row r="93" spans="1:4">
      <c r="A93" s="22" t="s">
        <v>53</v>
      </c>
      <c r="B93" t="s">
        <v>136</v>
      </c>
      <c r="C93" s="22">
        <v>2.4723000000000002</v>
      </c>
      <c r="D93" s="28" t="e">
        <f>(((Módulo1[[#Totals],[Valor]]+ResumoMódulo2[[#Totals],[Valor]]+Módulo3[[#Totals],[Valor]])/30)*C93)/12</f>
        <v>#REF!</v>
      </c>
    </row>
    <row r="94" spans="1:4">
      <c r="A94" s="22" t="s">
        <v>55</v>
      </c>
      <c r="B94" t="s">
        <v>137</v>
      </c>
      <c r="C94" s="22">
        <v>3.4521000000000002</v>
      </c>
      <c r="D94" s="28" t="e">
        <f>(((Módulo1[[#Totals],[Valor]]+ResumoMódulo2[[#Totals],[Valor]]+Módulo3[[#Totals],[Valor]])/30)*C94)/12</f>
        <v>#REF!</v>
      </c>
    </row>
    <row r="95" spans="1:4">
      <c r="A95" s="22" t="s">
        <v>58</v>
      </c>
      <c r="C95" s="22">
        <f ca="1">SUBTOTAL(109,Submódulo4.1[Dias de ausência])</f>
        <v>29.196800000000003</v>
      </c>
      <c r="D95" s="28" t="e">
        <f>SUBTOTAL(109,Submódulo4.1[Valor])</f>
        <v>#REF!</v>
      </c>
    </row>
    <row r="96" spans="1:4">
      <c r="A96" s="22"/>
      <c r="C96" s="22"/>
      <c r="D96" s="28"/>
    </row>
    <row r="97" spans="1:4">
      <c r="A97" s="184" t="s">
        <v>138</v>
      </c>
      <c r="B97" s="184"/>
      <c r="C97" s="184"/>
      <c r="D97" s="184"/>
    </row>
    <row r="98" spans="1:4">
      <c r="A98" s="30" t="s">
        <v>16</v>
      </c>
      <c r="B98" s="30" t="s">
        <v>70</v>
      </c>
      <c r="C98" s="30" t="s">
        <v>71</v>
      </c>
      <c r="D98" s="30" t="s">
        <v>72</v>
      </c>
    </row>
    <row r="99" spans="1:4">
      <c r="A99" s="21" t="s">
        <v>139</v>
      </c>
      <c r="B99" s="103" t="s">
        <v>140</v>
      </c>
      <c r="C99" s="104"/>
      <c r="D99" s="104"/>
    </row>
    <row r="100" spans="1:4" ht="45">
      <c r="A100" s="21" t="s">
        <v>139</v>
      </c>
      <c r="B100" s="105" t="s">
        <v>141</v>
      </c>
      <c r="C100" s="104" t="s">
        <v>142</v>
      </c>
      <c r="D100" s="104" t="s">
        <v>143</v>
      </c>
    </row>
    <row r="101" spans="1:4">
      <c r="A101" s="22"/>
      <c r="C101" s="22"/>
      <c r="D101" s="28"/>
    </row>
    <row r="102" spans="1:4">
      <c r="A102" s="186" t="s">
        <v>144</v>
      </c>
      <c r="B102" s="186"/>
      <c r="C102" s="186"/>
      <c r="D102" s="186"/>
    </row>
    <row r="103" spans="1:4">
      <c r="A103" s="22" t="s">
        <v>145</v>
      </c>
      <c r="B103" s="2" t="s">
        <v>146</v>
      </c>
      <c r="C103" s="22" t="s">
        <v>18</v>
      </c>
      <c r="D103" s="22" t="s">
        <v>19</v>
      </c>
    </row>
    <row r="104" spans="1:4">
      <c r="A104" s="22" t="s">
        <v>42</v>
      </c>
      <c r="B104" t="s">
        <v>147</v>
      </c>
      <c r="C104" s="22"/>
      <c r="D104" s="28"/>
    </row>
    <row r="105" spans="1:4">
      <c r="A105" s="22" t="s">
        <v>58</v>
      </c>
      <c r="C105" s="22"/>
      <c r="D105" s="28">
        <f ca="1">SUBTOTAL(109,Submódulo4.2[Valor])</f>
        <v>0</v>
      </c>
    </row>
    <row r="107" spans="1:4">
      <c r="A107" s="186" t="s">
        <v>148</v>
      </c>
      <c r="B107" s="186"/>
      <c r="C107" s="186"/>
      <c r="D107" s="186"/>
    </row>
    <row r="108" spans="1:4">
      <c r="A108" s="22" t="s">
        <v>149</v>
      </c>
      <c r="B108" s="2" t="s">
        <v>150</v>
      </c>
      <c r="C108" s="22" t="s">
        <v>18</v>
      </c>
      <c r="D108" s="22" t="s">
        <v>19</v>
      </c>
    </row>
    <row r="109" spans="1:4">
      <c r="A109" s="22" t="s">
        <v>129</v>
      </c>
      <c r="B109" t="s">
        <v>130</v>
      </c>
      <c r="D109" s="28" t="e">
        <f>Submódulo4.1[[#Totals],[Valor]]</f>
        <v>#REF!</v>
      </c>
    </row>
    <row r="110" spans="1:4">
      <c r="A110" s="22" t="s">
        <v>145</v>
      </c>
      <c r="B110" t="s">
        <v>151</v>
      </c>
      <c r="D110" s="28" t="e">
        <f>Submódulo4.2[[#Totals],[Valor]]</f>
        <v>#REF!</v>
      </c>
    </row>
    <row r="111" spans="1:4">
      <c r="A111" s="22" t="s">
        <v>58</v>
      </c>
      <c r="D111" s="28" t="e">
        <f>SUBTOTAL(109,ResumoMódulo4[Valor])</f>
        <v>#REF!</v>
      </c>
    </row>
    <row r="113" spans="1:4">
      <c r="A113" s="183" t="s">
        <v>152</v>
      </c>
      <c r="B113" s="183"/>
      <c r="C113" s="183"/>
      <c r="D113" s="183"/>
    </row>
    <row r="114" spans="1:4">
      <c r="A114" s="22" t="s">
        <v>153</v>
      </c>
      <c r="B114" s="2" t="s">
        <v>154</v>
      </c>
      <c r="C114" s="22" t="s">
        <v>18</v>
      </c>
      <c r="D114" s="22" t="s">
        <v>19</v>
      </c>
    </row>
    <row r="115" spans="1:4">
      <c r="A115" s="22" t="s">
        <v>42</v>
      </c>
      <c r="B115" t="s">
        <v>155</v>
      </c>
      <c r="D115" s="28" t="e">
        <f>#REF!</f>
        <v>#REF!</v>
      </c>
    </row>
    <row r="116" spans="1:4">
      <c r="A116" s="22" t="s">
        <v>45</v>
      </c>
      <c r="B116" t="s">
        <v>156</v>
      </c>
      <c r="D116" s="28" t="e">
        <f>#REF!/#REF!</f>
        <v>#REF!</v>
      </c>
    </row>
    <row r="117" spans="1:4">
      <c r="A117" s="22" t="s">
        <v>48</v>
      </c>
      <c r="B117" t="s">
        <v>157</v>
      </c>
      <c r="D117" s="28" t="e">
        <f>#REF!/#REF!</f>
        <v>#REF!</v>
      </c>
    </row>
    <row r="118" spans="1:4">
      <c r="A118" s="22" t="s">
        <v>50</v>
      </c>
      <c r="B118" t="s">
        <v>158</v>
      </c>
      <c r="D118" s="28"/>
    </row>
    <row r="119" spans="1:4">
      <c r="A119" s="22" t="s">
        <v>58</v>
      </c>
      <c r="D119" s="28" t="e">
        <f>SUBTOTAL(109,Módulo5[Valor])</f>
        <v>#REF!</v>
      </c>
    </row>
    <row r="120" spans="1:4">
      <c r="A120" s="22"/>
      <c r="D120" s="28"/>
    </row>
    <row r="121" spans="1:4">
      <c r="A121" s="184" t="s">
        <v>159</v>
      </c>
      <c r="B121" s="184"/>
      <c r="C121" s="184"/>
      <c r="D121" s="184"/>
    </row>
    <row r="122" spans="1:4">
      <c r="A122" s="30" t="s">
        <v>16</v>
      </c>
      <c r="B122" s="30" t="s">
        <v>70</v>
      </c>
      <c r="C122" s="30" t="s">
        <v>71</v>
      </c>
      <c r="D122" s="30" t="s">
        <v>72</v>
      </c>
    </row>
    <row r="123" spans="1:4">
      <c r="A123" s="21" t="s">
        <v>42</v>
      </c>
      <c r="B123" s="103" t="s">
        <v>155</v>
      </c>
      <c r="C123" s="104" t="s">
        <v>160</v>
      </c>
      <c r="D123" s="104"/>
    </row>
    <row r="124" spans="1:4" ht="30">
      <c r="A124" s="21" t="s">
        <v>45</v>
      </c>
      <c r="B124" s="105" t="s">
        <v>156</v>
      </c>
      <c r="C124" s="104" t="s">
        <v>161</v>
      </c>
      <c r="D124" s="104" t="s">
        <v>162</v>
      </c>
    </row>
    <row r="125" spans="1:4" ht="30">
      <c r="A125" s="21" t="s">
        <v>48</v>
      </c>
      <c r="B125" s="105" t="s">
        <v>157</v>
      </c>
      <c r="C125" s="104" t="s">
        <v>163</v>
      </c>
      <c r="D125" s="104" t="s">
        <v>162</v>
      </c>
    </row>
    <row r="126" spans="1:4">
      <c r="A126" s="21" t="s">
        <v>50</v>
      </c>
      <c r="B126" s="105" t="s">
        <v>158</v>
      </c>
      <c r="C126" s="104"/>
      <c r="D126" s="104"/>
    </row>
    <row r="128" spans="1:4">
      <c r="A128" s="183" t="s">
        <v>164</v>
      </c>
      <c r="B128" s="183"/>
      <c r="C128" s="183"/>
      <c r="D128" s="183"/>
    </row>
    <row r="129" spans="1:4" outlineLevel="1">
      <c r="A129" s="22" t="s">
        <v>165</v>
      </c>
      <c r="B129" t="s">
        <v>166</v>
      </c>
      <c r="C129" s="22" t="s">
        <v>38</v>
      </c>
      <c r="D129" s="22" t="s">
        <v>19</v>
      </c>
    </row>
    <row r="130" spans="1:4" outlineLevel="1">
      <c r="A130" s="22" t="s">
        <v>42</v>
      </c>
      <c r="B130" t="s">
        <v>167</v>
      </c>
      <c r="C130" s="31">
        <f>G16</f>
        <v>4.7100000000000003E-2</v>
      </c>
      <c r="D130" s="28" t="e">
        <f>Módulo6[[#This Row],[Percentual]]*(D141+D142+D143+D144+D145)</f>
        <v>#REF!</v>
      </c>
    </row>
    <row r="131" spans="1:4" outlineLevel="1">
      <c r="A131" s="22" t="s">
        <v>45</v>
      </c>
      <c r="B131" t="s">
        <v>59</v>
      </c>
      <c r="C131" s="31">
        <f>G17</f>
        <v>4.6699999999999998E-2</v>
      </c>
      <c r="D131" s="28" t="e">
        <f>(SUM(D141:D145)+D130)*Módulo6[[#This Row],[Percentual]]</f>
        <v>#REF!</v>
      </c>
    </row>
    <row r="132" spans="1:4">
      <c r="A132" s="22" t="s">
        <v>48</v>
      </c>
      <c r="B132" t="s">
        <v>168</v>
      </c>
      <c r="C132" s="31">
        <f>SUM(C133:C135)</f>
        <v>0.14250000000000002</v>
      </c>
      <c r="D132" s="28" t="e">
        <f>Módulo6[[#This Row],[Percentual]]*D148</f>
        <v>#REF!</v>
      </c>
    </row>
    <row r="133" spans="1:4">
      <c r="A133" s="22" t="s">
        <v>169</v>
      </c>
      <c r="B133" t="s">
        <v>60</v>
      </c>
      <c r="C133" s="31">
        <f>G18</f>
        <v>1.6500000000000001E-2</v>
      </c>
      <c r="D133" s="28" t="e">
        <f>Módulo6[[#This Row],[Percentual]]*D148</f>
        <v>#REF!</v>
      </c>
    </row>
    <row r="134" spans="1:4">
      <c r="A134" s="22" t="s">
        <v>170</v>
      </c>
      <c r="B134" t="s">
        <v>62</v>
      </c>
      <c r="C134" s="31">
        <f>G19</f>
        <v>7.5999999999999998E-2</v>
      </c>
      <c r="D134" s="28" t="e">
        <f>Módulo6[[#This Row],[Percentual]]*D148</f>
        <v>#REF!</v>
      </c>
    </row>
    <row r="135" spans="1:4">
      <c r="A135" s="22" t="s">
        <v>171</v>
      </c>
      <c r="B135" t="s">
        <v>64</v>
      </c>
      <c r="C135" s="31">
        <f>G20</f>
        <v>0.05</v>
      </c>
      <c r="D135" s="28" t="e">
        <f>Módulo6[[#This Row],[Percentual]]*D148</f>
        <v>#REF!</v>
      </c>
    </row>
    <row r="136" spans="1:4">
      <c r="A136" s="22" t="s">
        <v>58</v>
      </c>
      <c r="C136" s="67"/>
      <c r="D136" s="28" t="e">
        <f>SUM(D130:D132)</f>
        <v>#REF!</v>
      </c>
    </row>
    <row r="137" spans="1:4">
      <c r="A137" s="22"/>
      <c r="C137" s="67"/>
      <c r="D137" s="28"/>
    </row>
    <row r="139" spans="1:4">
      <c r="A139" s="183" t="s">
        <v>172</v>
      </c>
      <c r="B139" s="183"/>
      <c r="C139" s="183"/>
      <c r="D139" s="183"/>
    </row>
    <row r="140" spans="1:4">
      <c r="A140" s="22" t="s">
        <v>16</v>
      </c>
      <c r="B140" s="22" t="s">
        <v>173</v>
      </c>
      <c r="C140" s="22" t="s">
        <v>102</v>
      </c>
      <c r="D140" s="22" t="s">
        <v>19</v>
      </c>
    </row>
    <row r="141" spans="1:4">
      <c r="A141" s="22" t="s">
        <v>42</v>
      </c>
      <c r="B141" t="s">
        <v>36</v>
      </c>
      <c r="D141" s="28" t="e">
        <f>Módulo1[[#Totals],[Valor]]</f>
        <v>#REF!</v>
      </c>
    </row>
    <row r="142" spans="1:4">
      <c r="A142" s="22" t="s">
        <v>45</v>
      </c>
      <c r="B142" t="s">
        <v>61</v>
      </c>
      <c r="D142" s="28" t="e">
        <f>ResumoMódulo2[[#Totals],[Valor]]</f>
        <v>#REF!</v>
      </c>
    </row>
    <row r="143" spans="1:4">
      <c r="A143" s="22" t="s">
        <v>48</v>
      </c>
      <c r="B143" t="s">
        <v>108</v>
      </c>
      <c r="D143" s="28" t="e">
        <f>Módulo3[[#Totals],[Valor]]</f>
        <v>#REF!</v>
      </c>
    </row>
    <row r="144" spans="1:4">
      <c r="A144" s="22" t="s">
        <v>50</v>
      </c>
      <c r="B144" t="s">
        <v>174</v>
      </c>
      <c r="D144" s="28" t="e">
        <f>ResumoMódulo4[[#Totals],[Valor]]</f>
        <v>#REF!</v>
      </c>
    </row>
    <row r="145" spans="1:4">
      <c r="A145" s="22" t="s">
        <v>53</v>
      </c>
      <c r="B145" t="s">
        <v>152</v>
      </c>
      <c r="D145" s="28" t="e">
        <f>Módulo5[[#Totals],[Valor]]</f>
        <v>#REF!</v>
      </c>
    </row>
    <row r="146" spans="1:4">
      <c r="A146" t="s">
        <v>175</v>
      </c>
      <c r="D146" s="28" t="e">
        <f>SUM(D141:D145)</f>
        <v>#REF!</v>
      </c>
    </row>
    <row r="147" spans="1:4">
      <c r="A147" s="22" t="s">
        <v>55</v>
      </c>
      <c r="B147" t="s">
        <v>164</v>
      </c>
      <c r="D147" s="28" t="e">
        <f>Módulo6[[#Totals],[Valor]]</f>
        <v>#REF!</v>
      </c>
    </row>
    <row r="148" spans="1:4">
      <c r="A148" s="71" t="s">
        <v>176</v>
      </c>
      <c r="B148" s="71"/>
      <c r="C148" s="71"/>
      <c r="D148" s="107"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113:D113"/>
    <mergeCell ref="A121:D121"/>
    <mergeCell ref="A128:D128"/>
    <mergeCell ref="A139:D139"/>
    <mergeCell ref="A86:D86"/>
    <mergeCell ref="A87:D87"/>
    <mergeCell ref="A97:D97"/>
    <mergeCell ref="A102:D102"/>
    <mergeCell ref="A107:D107"/>
  </mergeCells>
  <pageMargins left="0.7" right="0.7" top="0.75" bottom="0.75" header="0.51180555555555496" footer="0.51180555555555496"/>
  <pageSetup paperSize="9" scale="43" firstPageNumber="0" fitToHeight="0" orientation="portrait" useFirstPageNumber="1" horizontalDpi="300" verticalDpi="300" r:id="rId1"/>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14"/>
  <sheetViews>
    <sheetView tabSelected="1" zoomScale="90" zoomScaleNormal="90" workbookViewId="0">
      <selection sqref="A1:G1"/>
    </sheetView>
  </sheetViews>
  <sheetFormatPr defaultColWidth="9.140625" defaultRowHeight="15"/>
  <cols>
    <col min="1" max="1" width="7.140625" customWidth="1"/>
    <col min="2" max="2" width="36.42578125" customWidth="1"/>
    <col min="3" max="3" width="11.5703125" customWidth="1"/>
    <col min="4" max="4" width="12.5703125" customWidth="1"/>
    <col min="5" max="5" width="13.28515625" customWidth="1"/>
    <col min="6" max="6" width="14.85546875" customWidth="1"/>
    <col min="7" max="7" width="16" bestFit="1" customWidth="1"/>
  </cols>
  <sheetData>
    <row r="1" spans="1:11">
      <c r="A1" s="189" t="s">
        <v>292</v>
      </c>
      <c r="B1" s="189"/>
      <c r="C1" s="189"/>
      <c r="D1" s="189"/>
      <c r="E1" s="189"/>
      <c r="F1" s="189"/>
      <c r="G1" s="189"/>
    </row>
    <row r="2" spans="1:11" ht="60">
      <c r="A2" s="168" t="s">
        <v>16</v>
      </c>
      <c r="B2" s="168" t="s">
        <v>17</v>
      </c>
      <c r="C2" s="168" t="s">
        <v>262</v>
      </c>
      <c r="D2" s="168" t="s">
        <v>293</v>
      </c>
      <c r="E2" s="168" t="s">
        <v>294</v>
      </c>
      <c r="F2" s="168" t="s">
        <v>295</v>
      </c>
      <c r="G2" s="168" t="s">
        <v>296</v>
      </c>
    </row>
    <row r="3" spans="1:11" ht="75">
      <c r="A3" s="169">
        <v>1</v>
      </c>
      <c r="B3" s="170" t="s">
        <v>297</v>
      </c>
      <c r="C3" s="168" t="s">
        <v>298</v>
      </c>
      <c r="D3" s="169">
        <v>1</v>
      </c>
      <c r="E3" s="169">
        <v>12</v>
      </c>
      <c r="F3" s="171">
        <f>Pedreiro!D148</f>
        <v>3594.36</v>
      </c>
      <c r="G3" s="171">
        <f>((F3*D3)*(E3))</f>
        <v>43132.32</v>
      </c>
      <c r="K3" s="1"/>
    </row>
    <row r="4" spans="1:11" ht="75">
      <c r="A4" s="169">
        <v>2</v>
      </c>
      <c r="B4" s="170" t="s">
        <v>299</v>
      </c>
      <c r="C4" s="168" t="s">
        <v>298</v>
      </c>
      <c r="D4" s="169">
        <v>1</v>
      </c>
      <c r="E4" s="169">
        <v>12</v>
      </c>
      <c r="F4" s="171">
        <f>Eletricista!D148</f>
        <v>4525.72</v>
      </c>
      <c r="G4" s="171">
        <f t="shared" ref="G4:G8" si="0">((F4*D4)*(E4))</f>
        <v>54308.639999999999</v>
      </c>
    </row>
    <row r="5" spans="1:11" ht="75">
      <c r="A5" s="169">
        <v>3</v>
      </c>
      <c r="B5" s="170" t="s">
        <v>300</v>
      </c>
      <c r="C5" s="168" t="s">
        <v>298</v>
      </c>
      <c r="D5" s="169">
        <v>1</v>
      </c>
      <c r="E5" s="169">
        <v>12</v>
      </c>
      <c r="F5" s="171">
        <f>Pintor!D148</f>
        <v>3666.6</v>
      </c>
      <c r="G5" s="171">
        <f t="shared" si="0"/>
        <v>43999.199999999997</v>
      </c>
    </row>
    <row r="6" spans="1:11" ht="75">
      <c r="A6" s="169">
        <v>4</v>
      </c>
      <c r="B6" s="172" t="s">
        <v>332</v>
      </c>
      <c r="C6" s="168" t="s">
        <v>298</v>
      </c>
      <c r="D6" s="169">
        <v>1</v>
      </c>
      <c r="E6" s="169">
        <v>12</v>
      </c>
      <c r="F6" s="171">
        <f>'Técnico em Manutenção Predial'!D148</f>
        <v>3594.36</v>
      </c>
      <c r="G6" s="171">
        <f t="shared" si="0"/>
        <v>43132.32</v>
      </c>
    </row>
    <row r="7" spans="1:11" ht="75">
      <c r="A7" s="169">
        <v>5</v>
      </c>
      <c r="B7" s="172" t="s">
        <v>333</v>
      </c>
      <c r="C7" s="168" t="s">
        <v>298</v>
      </c>
      <c r="D7" s="169">
        <v>1</v>
      </c>
      <c r="E7" s="169">
        <v>12</v>
      </c>
      <c r="F7" s="171">
        <f>Piscineiro!D148</f>
        <v>3019.96</v>
      </c>
      <c r="G7" s="171">
        <f t="shared" si="0"/>
        <v>36239.520000000004</v>
      </c>
    </row>
    <row r="8" spans="1:11" ht="75">
      <c r="A8" s="169">
        <v>6</v>
      </c>
      <c r="B8" s="170" t="s">
        <v>301</v>
      </c>
      <c r="C8" s="168" t="s">
        <v>298</v>
      </c>
      <c r="D8" s="169">
        <v>1</v>
      </c>
      <c r="E8" s="169">
        <v>12</v>
      </c>
      <c r="F8" s="171">
        <f>Jardineiro!D148</f>
        <v>3019.96</v>
      </c>
      <c r="G8" s="171">
        <f t="shared" si="0"/>
        <v>36239.520000000004</v>
      </c>
    </row>
    <row r="9" spans="1:11" ht="75">
      <c r="A9" s="169">
        <v>7</v>
      </c>
      <c r="B9" s="172" t="s">
        <v>334</v>
      </c>
      <c r="C9" s="168" t="s">
        <v>298</v>
      </c>
      <c r="D9" s="169">
        <v>8</v>
      </c>
      <c r="E9" s="169">
        <v>12</v>
      </c>
      <c r="F9" s="173">
        <f>Cozinheira!D148</f>
        <v>3019.96</v>
      </c>
      <c r="G9" s="171">
        <f t="shared" ref="G9:G12" si="1">((F9*D9)*(E9))</f>
        <v>289916.16000000003</v>
      </c>
    </row>
    <row r="10" spans="1:11" ht="75">
      <c r="A10" s="169">
        <v>8</v>
      </c>
      <c r="B10" s="172" t="s">
        <v>335</v>
      </c>
      <c r="C10" s="168" t="s">
        <v>298</v>
      </c>
      <c r="D10" s="169">
        <v>3</v>
      </c>
      <c r="E10" s="169">
        <v>12</v>
      </c>
      <c r="F10" s="173">
        <f>'Auxiliar de Cozinha'!D148</f>
        <v>3019.96</v>
      </c>
      <c r="G10" s="171">
        <f t="shared" si="1"/>
        <v>108718.56000000001</v>
      </c>
    </row>
    <row r="11" spans="1:11" ht="75">
      <c r="A11" s="169">
        <v>9</v>
      </c>
      <c r="B11" s="172" t="s">
        <v>336</v>
      </c>
      <c r="C11" s="168" t="s">
        <v>298</v>
      </c>
      <c r="D11" s="169">
        <v>3</v>
      </c>
      <c r="E11" s="169">
        <v>12</v>
      </c>
      <c r="F11" s="173">
        <f>Recepcionista!D148</f>
        <v>3019.96</v>
      </c>
      <c r="G11" s="171">
        <f t="shared" si="1"/>
        <v>108718.56000000001</v>
      </c>
    </row>
    <row r="12" spans="1:11" ht="75">
      <c r="A12" s="169">
        <v>10</v>
      </c>
      <c r="B12" s="172" t="s">
        <v>340</v>
      </c>
      <c r="C12" s="168" t="s">
        <v>298</v>
      </c>
      <c r="D12" s="169">
        <v>2</v>
      </c>
      <c r="E12" s="169">
        <v>12</v>
      </c>
      <c r="F12" s="173">
        <f>'Motorista Interestadual'!D148</f>
        <v>6410.41</v>
      </c>
      <c r="G12" s="171">
        <f t="shared" si="1"/>
        <v>153849.84</v>
      </c>
    </row>
    <row r="13" spans="1:11">
      <c r="A13" s="169">
        <v>11</v>
      </c>
      <c r="B13" s="172" t="s">
        <v>337</v>
      </c>
      <c r="C13" s="174" t="s">
        <v>338</v>
      </c>
      <c r="D13" s="169">
        <v>10</v>
      </c>
      <c r="E13" s="169">
        <v>12</v>
      </c>
      <c r="F13" s="173">
        <f>'Diárias Nacionais Motorista'!C4</f>
        <v>175.15</v>
      </c>
      <c r="G13" s="171">
        <f>((F13*D13)*(E13))</f>
        <v>21018</v>
      </c>
    </row>
    <row r="14" spans="1:11">
      <c r="A14" s="175" t="s">
        <v>204</v>
      </c>
      <c r="B14" s="175"/>
      <c r="C14" s="175"/>
      <c r="D14" s="175"/>
      <c r="E14" s="175"/>
      <c r="F14" s="175"/>
      <c r="G14" s="176">
        <f>SUM(G3:G13)</f>
        <v>939272.64000000013</v>
      </c>
    </row>
  </sheetData>
  <mergeCells count="1">
    <mergeCell ref="A1:G1"/>
  </mergeCells>
  <pageMargins left="0.75" right="0.75" top="1" bottom="1" header="0.5" footer="0.5"/>
  <pageSetup paperSize="9" scale="77" fitToHeight="0"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K148"/>
  <sheetViews>
    <sheetView workbookViewId="0">
      <selection activeCell="H12" sqref="H12"/>
    </sheetView>
  </sheetViews>
  <sheetFormatPr defaultColWidth="9.140625" defaultRowHeight="15"/>
  <cols>
    <col min="1" max="1" width="12" style="79" customWidth="1"/>
    <col min="2" max="2" width="50.28515625" customWidth="1"/>
    <col min="3" max="3" width="32.28515625" customWidth="1"/>
    <col min="4" max="4" width="41" customWidth="1"/>
    <col min="6" max="7" width="0" hidden="1" customWidth="1"/>
    <col min="8" max="8" width="22.85546875" customWidth="1"/>
    <col min="9" max="9" width="15.5703125" customWidth="1"/>
    <col min="11" max="11" width="11.42578125"/>
  </cols>
  <sheetData>
    <row r="2" spans="1:9" ht="18.75">
      <c r="A2" s="208" t="s">
        <v>177</v>
      </c>
      <c r="B2" s="209"/>
      <c r="C2" s="209"/>
      <c r="D2" s="209"/>
    </row>
    <row r="3" spans="1:9">
      <c r="A3" s="210" t="s">
        <v>314</v>
      </c>
      <c r="B3" s="211"/>
      <c r="C3" s="211"/>
      <c r="D3" s="211"/>
    </row>
    <row r="4" spans="1:9">
      <c r="A4" s="80" t="s">
        <v>178</v>
      </c>
      <c r="B4" s="6" t="s">
        <v>419</v>
      </c>
      <c r="C4" s="7"/>
      <c r="D4" s="7"/>
    </row>
    <row r="5" spans="1:9">
      <c r="A5" s="81"/>
      <c r="B5" s="9"/>
      <c r="C5" s="9"/>
      <c r="D5" s="9"/>
    </row>
    <row r="6" spans="1:9">
      <c r="A6" s="190" t="s">
        <v>179</v>
      </c>
      <c r="B6" s="183"/>
      <c r="C6" s="183"/>
      <c r="D6" s="183"/>
    </row>
    <row r="7" spans="1:9">
      <c r="A7" s="10" t="s">
        <v>42</v>
      </c>
      <c r="B7" s="11" t="s">
        <v>180</v>
      </c>
      <c r="C7" s="212" t="s">
        <v>302</v>
      </c>
      <c r="D7" s="213"/>
    </row>
    <row r="8" spans="1:9">
      <c r="A8" s="12" t="s">
        <v>45</v>
      </c>
      <c r="B8" s="13" t="s">
        <v>181</v>
      </c>
      <c r="C8" s="203" t="s">
        <v>182</v>
      </c>
      <c r="D8" s="203"/>
    </row>
    <row r="9" spans="1:9">
      <c r="A9" s="15" t="s">
        <v>48</v>
      </c>
      <c r="B9" s="16" t="s">
        <v>183</v>
      </c>
      <c r="C9" s="203" t="s">
        <v>184</v>
      </c>
      <c r="D9" s="203"/>
    </row>
    <row r="10" spans="1:9">
      <c r="A10" s="12" t="s">
        <v>53</v>
      </c>
      <c r="B10" s="13" t="s">
        <v>185</v>
      </c>
      <c r="C10" s="203" t="s">
        <v>186</v>
      </c>
      <c r="D10" s="203"/>
    </row>
    <row r="11" spans="1:9">
      <c r="A11" s="201" t="s">
        <v>187</v>
      </c>
      <c r="B11" s="202"/>
      <c r="C11" s="202"/>
      <c r="D11" s="202"/>
    </row>
    <row r="12" spans="1:9">
      <c r="A12" s="204" t="s">
        <v>188</v>
      </c>
      <c r="B12" s="205"/>
      <c r="C12" s="17" t="s">
        <v>189</v>
      </c>
      <c r="D12" s="18" t="s">
        <v>190</v>
      </c>
    </row>
    <row r="13" spans="1:9">
      <c r="A13" s="206" t="s">
        <v>191</v>
      </c>
      <c r="B13" s="207"/>
      <c r="C13" s="14" t="s">
        <v>192</v>
      </c>
      <c r="D13" s="19">
        <f>RESUMO!D3</f>
        <v>1</v>
      </c>
    </row>
    <row r="14" spans="1:9">
      <c r="A14" s="199"/>
      <c r="B14" s="200"/>
      <c r="C14" s="14"/>
      <c r="D14" s="20"/>
    </row>
    <row r="15" spans="1:9">
      <c r="A15" s="201" t="s">
        <v>14</v>
      </c>
      <c r="B15" s="202"/>
      <c r="C15" s="202"/>
      <c r="D15" s="202"/>
      <c r="H15" s="186"/>
      <c r="I15" s="186"/>
    </row>
    <row r="16" spans="1:9">
      <c r="A16" s="21" t="s">
        <v>16</v>
      </c>
      <c r="B16" t="s">
        <v>17</v>
      </c>
      <c r="C16" s="22" t="s">
        <v>18</v>
      </c>
      <c r="D16" s="22" t="s">
        <v>19</v>
      </c>
    </row>
    <row r="17" spans="1:9">
      <c r="A17" s="21">
        <v>1</v>
      </c>
      <c r="B17" t="s">
        <v>20</v>
      </c>
      <c r="C17" s="23" t="s">
        <v>102</v>
      </c>
      <c r="D17" s="23" t="str">
        <f>A13</f>
        <v>Pedreiro</v>
      </c>
    </row>
    <row r="18" spans="1:9">
      <c r="A18" s="21">
        <v>2</v>
      </c>
      <c r="B18" t="s">
        <v>23</v>
      </c>
      <c r="C18" s="23" t="s">
        <v>193</v>
      </c>
      <c r="D18" s="23" t="s">
        <v>194</v>
      </c>
    </row>
    <row r="19" spans="1:9">
      <c r="A19" s="21">
        <v>3</v>
      </c>
      <c r="B19" t="s">
        <v>26</v>
      </c>
      <c r="C19" s="23" t="str">
        <f>C9</f>
        <v>CCT PB000517/2021</v>
      </c>
      <c r="D19" s="24">
        <v>1619.68</v>
      </c>
    </row>
    <row r="20" spans="1:9">
      <c r="A20" s="21">
        <v>4</v>
      </c>
      <c r="B20" t="s">
        <v>29</v>
      </c>
      <c r="C20" s="23" t="str">
        <f>C9</f>
        <v>CCT PB000517/2021</v>
      </c>
      <c r="D20" s="25" t="s">
        <v>195</v>
      </c>
    </row>
    <row r="21" spans="1:9">
      <c r="A21" s="21">
        <v>5</v>
      </c>
      <c r="B21" t="s">
        <v>33</v>
      </c>
      <c r="C21" s="23" t="str">
        <f>C9</f>
        <v>CCT PB000517/2021</v>
      </c>
      <c r="D21" s="26" t="s">
        <v>196</v>
      </c>
    </row>
    <row r="22" spans="1:9">
      <c r="H22" s="186"/>
      <c r="I22" s="186"/>
    </row>
    <row r="23" spans="1:9">
      <c r="A23" s="190" t="s">
        <v>36</v>
      </c>
      <c r="B23" s="183"/>
      <c r="C23" s="183"/>
      <c r="D23" s="183"/>
    </row>
    <row r="24" spans="1:9">
      <c r="A24" s="21" t="s">
        <v>39</v>
      </c>
      <c r="B24" s="2" t="s">
        <v>40</v>
      </c>
      <c r="C24" s="22" t="s">
        <v>18</v>
      </c>
      <c r="D24" s="22" t="s">
        <v>19</v>
      </c>
      <c r="I24" s="27"/>
    </row>
    <row r="25" spans="1:9">
      <c r="A25" s="21" t="s">
        <v>42</v>
      </c>
      <c r="B25" t="s">
        <v>43</v>
      </c>
      <c r="C25" s="25" t="s">
        <v>197</v>
      </c>
      <c r="D25" s="24">
        <f>D19</f>
        <v>1619.68</v>
      </c>
      <c r="I25" s="27"/>
    </row>
    <row r="26" spans="1:9">
      <c r="A26" s="21" t="s">
        <v>45</v>
      </c>
      <c r="B26" t="s">
        <v>198</v>
      </c>
      <c r="C26" s="25"/>
      <c r="D26" s="24">
        <v>0</v>
      </c>
      <c r="I26" s="27"/>
    </row>
    <row r="27" spans="1:9">
      <c r="A27" s="21" t="s">
        <v>48</v>
      </c>
      <c r="B27" t="s">
        <v>199</v>
      </c>
      <c r="C27" s="25"/>
      <c r="D27" s="24">
        <v>0</v>
      </c>
    </row>
    <row r="28" spans="1:9">
      <c r="A28" s="21" t="s">
        <v>50</v>
      </c>
      <c r="B28" t="s">
        <v>51</v>
      </c>
      <c r="C28" s="25"/>
      <c r="D28" s="24">
        <v>0</v>
      </c>
    </row>
    <row r="29" spans="1:9">
      <c r="A29" s="21" t="s">
        <v>53</v>
      </c>
      <c r="B29" t="s">
        <v>54</v>
      </c>
      <c r="C29" s="25"/>
      <c r="D29" s="24">
        <v>0</v>
      </c>
    </row>
    <row r="30" spans="1:9">
      <c r="A30" s="21" t="s">
        <v>55</v>
      </c>
      <c r="B30" t="s">
        <v>56</v>
      </c>
      <c r="C30" s="25"/>
      <c r="D30" s="24">
        <v>0</v>
      </c>
    </row>
    <row r="31" spans="1:9">
      <c r="A31" s="21" t="s">
        <v>58</v>
      </c>
      <c r="C31" s="22"/>
      <c r="D31" s="28">
        <f>TRUNC((SUM(D25:D30)),2)</f>
        <v>1619.68</v>
      </c>
      <c r="H31" s="186"/>
      <c r="I31" s="186"/>
    </row>
    <row r="32" spans="1:9">
      <c r="B32" s="29" t="s">
        <v>200</v>
      </c>
    </row>
    <row r="33" spans="1:9">
      <c r="A33" s="192" t="s">
        <v>61</v>
      </c>
      <c r="B33" s="187"/>
      <c r="C33" s="187"/>
      <c r="D33" s="187"/>
      <c r="I33" s="27"/>
    </row>
    <row r="35" spans="1:9">
      <c r="A35" s="184" t="s">
        <v>63</v>
      </c>
      <c r="B35" s="186"/>
      <c r="C35" s="186"/>
      <c r="D35" s="186"/>
    </row>
    <row r="36" spans="1:9">
      <c r="A36" s="21" t="s">
        <v>65</v>
      </c>
      <c r="B36" s="2" t="s">
        <v>66</v>
      </c>
      <c r="C36" s="22" t="s">
        <v>38</v>
      </c>
      <c r="D36" s="22" t="s">
        <v>19</v>
      </c>
    </row>
    <row r="37" spans="1:9">
      <c r="A37" s="21" t="s">
        <v>42</v>
      </c>
      <c r="B37" t="s">
        <v>67</v>
      </c>
      <c r="C37" s="31">
        <f>(1/12)</f>
        <v>8.3333333333333329E-2</v>
      </c>
      <c r="D37" s="28">
        <f>TRUNC($D$31*C37,2)</f>
        <v>134.97</v>
      </c>
      <c r="H37" s="32"/>
      <c r="I37" s="32"/>
    </row>
    <row r="38" spans="1:9">
      <c r="A38" s="21" t="s">
        <v>45</v>
      </c>
      <c r="B38" t="s">
        <v>68</v>
      </c>
      <c r="C38" s="31">
        <f>(((1+1/3)/12))</f>
        <v>0.1111111111111111</v>
      </c>
      <c r="D38" s="28">
        <f>TRUNC($D$31*C38,2)</f>
        <v>179.96</v>
      </c>
      <c r="H38" s="32"/>
      <c r="I38" s="32"/>
    </row>
    <row r="39" spans="1:9">
      <c r="A39" s="21" t="s">
        <v>58</v>
      </c>
      <c r="D39" s="28">
        <f>TRUNC((SUM(D37:D38)),2)</f>
        <v>314.93</v>
      </c>
      <c r="H39" s="32"/>
      <c r="I39" s="32"/>
    </row>
    <row r="40" spans="1:9">
      <c r="D40" s="28"/>
      <c r="H40" s="32"/>
      <c r="I40" s="32"/>
    </row>
    <row r="41" spans="1:9">
      <c r="A41" s="192" t="s">
        <v>201</v>
      </c>
      <c r="B41" s="192"/>
      <c r="C41" s="33" t="s">
        <v>202</v>
      </c>
      <c r="D41" s="34">
        <f>D31</f>
        <v>1619.68</v>
      </c>
      <c r="H41" s="32"/>
      <c r="I41" s="32"/>
    </row>
    <row r="42" spans="1:9">
      <c r="A42" s="192"/>
      <c r="B42" s="192"/>
      <c r="C42" s="35" t="s">
        <v>203</v>
      </c>
      <c r="D42" s="34">
        <f>D39</f>
        <v>314.93</v>
      </c>
      <c r="H42" s="32"/>
      <c r="I42" s="32"/>
    </row>
    <row r="43" spans="1:9">
      <c r="A43" s="192"/>
      <c r="B43" s="192"/>
      <c r="C43" s="33" t="s">
        <v>204</v>
      </c>
      <c r="D43" s="36">
        <f>TRUNC((SUM(D41:D42)),2)</f>
        <v>1934.61</v>
      </c>
      <c r="H43" s="32"/>
      <c r="I43" s="32"/>
    </row>
    <row r="44" spans="1:9">
      <c r="A44" s="21"/>
      <c r="C44" s="37"/>
      <c r="D44" s="28"/>
      <c r="H44" s="32"/>
      <c r="I44" s="32"/>
    </row>
    <row r="45" spans="1:9">
      <c r="A45" s="184" t="s">
        <v>77</v>
      </c>
      <c r="B45" s="186"/>
      <c r="C45" s="186"/>
      <c r="D45" s="186"/>
    </row>
    <row r="46" spans="1:9">
      <c r="A46" s="21" t="s">
        <v>78</v>
      </c>
      <c r="B46" s="2" t="s">
        <v>79</v>
      </c>
      <c r="C46" s="22" t="s">
        <v>38</v>
      </c>
      <c r="D46" s="22" t="s">
        <v>80</v>
      </c>
    </row>
    <row r="47" spans="1:9">
      <c r="A47" s="21" t="s">
        <v>42</v>
      </c>
      <c r="B47" t="s">
        <v>81</v>
      </c>
      <c r="C47" s="31">
        <v>0.2</v>
      </c>
      <c r="D47" s="28">
        <f>TRUNC(($D$43*C47),2)</f>
        <v>386.92</v>
      </c>
    </row>
    <row r="48" spans="1:9">
      <c r="A48" s="21" t="s">
        <v>45</v>
      </c>
      <c r="B48" t="s">
        <v>82</v>
      </c>
      <c r="C48" s="31">
        <v>2.5000000000000001E-2</v>
      </c>
      <c r="D48" s="28">
        <f t="shared" ref="D48:D54" si="0">TRUNC(($D$43*C48),2)</f>
        <v>48.36</v>
      </c>
    </row>
    <row r="49" spans="1:8">
      <c r="A49" s="21" t="s">
        <v>48</v>
      </c>
      <c r="B49" t="s">
        <v>205</v>
      </c>
      <c r="C49" s="38">
        <v>0.03</v>
      </c>
      <c r="D49" s="24">
        <f t="shared" si="0"/>
        <v>58.03</v>
      </c>
    </row>
    <row r="50" spans="1:8">
      <c r="A50" s="21" t="s">
        <v>50</v>
      </c>
      <c r="B50" t="s">
        <v>84</v>
      </c>
      <c r="C50" s="31">
        <v>1.4999999999999999E-2</v>
      </c>
      <c r="D50" s="28">
        <f t="shared" si="0"/>
        <v>29.01</v>
      </c>
    </row>
    <row r="51" spans="1:8">
      <c r="A51" s="21" t="s">
        <v>53</v>
      </c>
      <c r="B51" t="s">
        <v>85</v>
      </c>
      <c r="C51" s="31">
        <v>0.01</v>
      </c>
      <c r="D51" s="28">
        <f t="shared" si="0"/>
        <v>19.34</v>
      </c>
    </row>
    <row r="52" spans="1:8">
      <c r="A52" s="21" t="s">
        <v>55</v>
      </c>
      <c r="B52" t="s">
        <v>86</v>
      </c>
      <c r="C52" s="31">
        <v>6.0000000000000001E-3</v>
      </c>
      <c r="D52" s="28">
        <f t="shared" si="0"/>
        <v>11.6</v>
      </c>
    </row>
    <row r="53" spans="1:8">
      <c r="A53" s="21" t="s">
        <v>87</v>
      </c>
      <c r="B53" t="s">
        <v>88</v>
      </c>
      <c r="C53" s="31">
        <v>2E-3</v>
      </c>
      <c r="D53" s="28">
        <f t="shared" si="0"/>
        <v>3.86</v>
      </c>
    </row>
    <row r="54" spans="1:8">
      <c r="A54" s="21" t="s">
        <v>89</v>
      </c>
      <c r="B54" t="s">
        <v>90</v>
      </c>
      <c r="C54" s="31">
        <v>0.08</v>
      </c>
      <c r="D54" s="28">
        <f t="shared" si="0"/>
        <v>154.76</v>
      </c>
    </row>
    <row r="55" spans="1:8">
      <c r="A55" s="21" t="s">
        <v>58</v>
      </c>
      <c r="C55" s="37">
        <f>SUM(C47:C54)</f>
        <v>0.36800000000000005</v>
      </c>
      <c r="D55" s="28">
        <f>TRUNC(SUM(D47:D54),2)</f>
        <v>711.88</v>
      </c>
    </row>
    <row r="56" spans="1:8">
      <c r="A56" s="21"/>
      <c r="C56" s="37"/>
      <c r="D56" s="28"/>
    </row>
    <row r="57" spans="1:8">
      <c r="A57" s="184" t="s">
        <v>95</v>
      </c>
      <c r="B57" s="186"/>
      <c r="C57" s="186"/>
      <c r="D57" s="186"/>
    </row>
    <row r="58" spans="1:8">
      <c r="A58" s="21" t="s">
        <v>96</v>
      </c>
      <c r="B58" s="2" t="s">
        <v>97</v>
      </c>
      <c r="C58" s="22" t="s">
        <v>18</v>
      </c>
      <c r="D58" s="22" t="s">
        <v>19</v>
      </c>
    </row>
    <row r="59" spans="1:8">
      <c r="A59" s="21" t="s">
        <v>42</v>
      </c>
      <c r="B59" t="s">
        <v>98</v>
      </c>
      <c r="C59" s="23"/>
      <c r="D59" s="39">
        <v>0</v>
      </c>
    </row>
    <row r="60" spans="1:8">
      <c r="A60" s="21" t="s">
        <v>45</v>
      </c>
      <c r="B60" t="s">
        <v>99</v>
      </c>
      <c r="C60" s="23" t="str">
        <f>C9</f>
        <v>CCT PB000517/2021</v>
      </c>
      <c r="D60" s="24">
        <f>TRUNC((((22*20.91))-(((22*20.91))*0.2)),2)</f>
        <v>368.01</v>
      </c>
    </row>
    <row r="61" spans="1:8">
      <c r="A61" s="21" t="s">
        <v>48</v>
      </c>
      <c r="B61" t="s">
        <v>100</v>
      </c>
      <c r="C61" s="23"/>
      <c r="D61" s="24">
        <v>0</v>
      </c>
    </row>
    <row r="62" spans="1:8">
      <c r="A62" s="21" t="s">
        <v>50</v>
      </c>
      <c r="B62" s="40" t="s">
        <v>206</v>
      </c>
      <c r="C62" s="41"/>
      <c r="D62" s="41">
        <v>0</v>
      </c>
      <c r="H62" s="40"/>
    </row>
    <row r="63" spans="1:8">
      <c r="A63" s="21" t="s">
        <v>53</v>
      </c>
      <c r="B63" s="2" t="s">
        <v>207</v>
      </c>
      <c r="C63" s="23" t="str">
        <f>C60</f>
        <v>CCT PB000517/2021</v>
      </c>
      <c r="D63" s="24">
        <v>20</v>
      </c>
    </row>
    <row r="64" spans="1:8">
      <c r="A64" s="21" t="s">
        <v>55</v>
      </c>
      <c r="B64" s="42" t="s">
        <v>208</v>
      </c>
      <c r="C64" s="23" t="str">
        <f>C9</f>
        <v>CCT PB000517/2021</v>
      </c>
      <c r="D64" s="24">
        <v>5</v>
      </c>
    </row>
    <row r="65" spans="1:4">
      <c r="A65" s="21" t="s">
        <v>87</v>
      </c>
      <c r="B65" s="42" t="s">
        <v>209</v>
      </c>
      <c r="C65" s="41" t="str">
        <f>C60</f>
        <v>CCT PB000517/2021</v>
      </c>
      <c r="D65" s="24">
        <v>40</v>
      </c>
    </row>
    <row r="66" spans="1:4">
      <c r="A66" s="21" t="s">
        <v>58</v>
      </c>
      <c r="D66" s="28">
        <f>TRUNC((SUM(D59:D65)),2)</f>
        <v>433.01</v>
      </c>
    </row>
    <row r="67" spans="1:4">
      <c r="A67" s="21"/>
      <c r="D67" s="28"/>
    </row>
    <row r="68" spans="1:4">
      <c r="A68" s="184" t="s">
        <v>105</v>
      </c>
      <c r="B68" s="186"/>
      <c r="C68" s="186"/>
      <c r="D68" s="186"/>
    </row>
    <row r="69" spans="1:4">
      <c r="A69" s="21" t="s">
        <v>106</v>
      </c>
      <c r="B69" s="2" t="s">
        <v>107</v>
      </c>
      <c r="C69" s="22" t="s">
        <v>18</v>
      </c>
      <c r="D69" s="22" t="s">
        <v>19</v>
      </c>
    </row>
    <row r="70" spans="1:4">
      <c r="A70" s="21" t="s">
        <v>65</v>
      </c>
      <c r="B70" t="s">
        <v>66</v>
      </c>
      <c r="C70" s="22"/>
      <c r="D70" s="28">
        <f>D39</f>
        <v>314.93</v>
      </c>
    </row>
    <row r="71" spans="1:4">
      <c r="A71" s="21" t="s">
        <v>78</v>
      </c>
      <c r="B71" t="s">
        <v>79</v>
      </c>
      <c r="C71" s="22"/>
      <c r="D71" s="28">
        <f>D55</f>
        <v>711.88</v>
      </c>
    </row>
    <row r="72" spans="1:4">
      <c r="A72" s="21" t="s">
        <v>96</v>
      </c>
      <c r="B72" t="s">
        <v>97</v>
      </c>
      <c r="C72" s="22"/>
      <c r="D72" s="28">
        <f>D66</f>
        <v>433.01</v>
      </c>
    </row>
    <row r="73" spans="1:4">
      <c r="A73" s="21" t="s">
        <v>58</v>
      </c>
      <c r="C73" s="22"/>
      <c r="D73" s="28">
        <f>TRUNC((SUM(D70:D72)),2)</f>
        <v>1459.82</v>
      </c>
    </row>
    <row r="75" spans="1:4">
      <c r="A75" s="190" t="s">
        <v>108</v>
      </c>
      <c r="B75" s="183"/>
      <c r="C75" s="183"/>
      <c r="D75" s="183"/>
    </row>
    <row r="76" spans="1:4">
      <c r="A76" s="21" t="s">
        <v>109</v>
      </c>
      <c r="B76" s="2" t="s">
        <v>110</v>
      </c>
      <c r="C76" s="22" t="s">
        <v>38</v>
      </c>
      <c r="D76" s="22" t="s">
        <v>19</v>
      </c>
    </row>
    <row r="77" spans="1:4">
      <c r="A77" s="21" t="s">
        <v>42</v>
      </c>
      <c r="B77" s="88" t="s">
        <v>111</v>
      </c>
      <c r="C77" s="38">
        <f>((1/12)*2%)</f>
        <v>1.6666666666666666E-3</v>
      </c>
      <c r="D77" s="24">
        <f>TRUNC(($D$31*C77),2)</f>
        <v>2.69</v>
      </c>
    </row>
    <row r="78" spans="1:4">
      <c r="A78" s="21" t="s">
        <v>45</v>
      </c>
      <c r="B78" s="88" t="s">
        <v>112</v>
      </c>
      <c r="C78" s="43">
        <v>0.08</v>
      </c>
      <c r="D78" s="28">
        <f>TRUNC(($D$77*C78),2)</f>
        <v>0.21</v>
      </c>
    </row>
    <row r="79" spans="1:4" ht="30">
      <c r="A79" s="21" t="s">
        <v>48</v>
      </c>
      <c r="B79" s="89" t="s">
        <v>113</v>
      </c>
      <c r="C79" s="45">
        <f>(0.08*0.4*0.02)</f>
        <v>6.4000000000000005E-4</v>
      </c>
      <c r="D79" s="41">
        <f>TRUNC(($D$31*C79),2)</f>
        <v>1.03</v>
      </c>
    </row>
    <row r="80" spans="1:4">
      <c r="A80" s="21" t="s">
        <v>50</v>
      </c>
      <c r="B80" s="88" t="s">
        <v>114</v>
      </c>
      <c r="C80" s="43">
        <f>(((7/30)/12)*0.98)</f>
        <v>1.9055555555555555E-2</v>
      </c>
      <c r="D80" s="28">
        <f>TRUNC(($D$31*C80),2)</f>
        <v>30.86</v>
      </c>
    </row>
    <row r="81" spans="1:4" ht="30">
      <c r="A81" s="21" t="s">
        <v>53</v>
      </c>
      <c r="B81" s="89" t="s">
        <v>210</v>
      </c>
      <c r="C81" s="45">
        <f>C55</f>
        <v>0.36800000000000005</v>
      </c>
      <c r="D81" s="41">
        <f>TRUNC(($D$80*C81),2)</f>
        <v>11.35</v>
      </c>
    </row>
    <row r="82" spans="1:4" ht="30">
      <c r="A82" s="21" t="s">
        <v>55</v>
      </c>
      <c r="B82" s="89" t="s">
        <v>115</v>
      </c>
      <c r="C82" s="45">
        <f>(0.08*0.4*0.98)</f>
        <v>3.1359999999999999E-2</v>
      </c>
      <c r="D82" s="41">
        <f>TRUNC(($D$31*C82),2)</f>
        <v>50.79</v>
      </c>
    </row>
    <row r="83" spans="1:4">
      <c r="A83" s="21" t="s">
        <v>58</v>
      </c>
      <c r="C83" s="43">
        <f>SUM(C77:C82)</f>
        <v>0.50072222222222229</v>
      </c>
      <c r="D83" s="28">
        <f>TRUNC((SUM(D77:D82)),2)</f>
        <v>96.93</v>
      </c>
    </row>
    <row r="84" spans="1:4">
      <c r="A84" s="21"/>
      <c r="D84" s="28"/>
    </row>
    <row r="85" spans="1:4">
      <c r="A85" s="192" t="s">
        <v>211</v>
      </c>
      <c r="B85" s="192"/>
      <c r="C85" s="33" t="s">
        <v>202</v>
      </c>
      <c r="D85" s="34">
        <f>D31</f>
        <v>1619.68</v>
      </c>
    </row>
    <row r="86" spans="1:4">
      <c r="A86" s="192"/>
      <c r="B86" s="192"/>
      <c r="C86" s="35" t="s">
        <v>212</v>
      </c>
      <c r="D86" s="34">
        <f>D73</f>
        <v>1459.82</v>
      </c>
    </row>
    <row r="87" spans="1:4">
      <c r="A87" s="192"/>
      <c r="B87" s="192"/>
      <c r="C87" s="33" t="s">
        <v>213</v>
      </c>
      <c r="D87" s="34">
        <f>D83</f>
        <v>96.93</v>
      </c>
    </row>
    <row r="88" spans="1:4">
      <c r="A88" s="192"/>
      <c r="B88" s="192"/>
      <c r="C88" s="35" t="s">
        <v>204</v>
      </c>
      <c r="D88" s="36">
        <f>TRUNC((SUM(D85:D87)),2)</f>
        <v>3176.43</v>
      </c>
    </row>
    <row r="89" spans="1:4">
      <c r="A89" s="21"/>
      <c r="D89" s="28"/>
    </row>
    <row r="90" spans="1:4">
      <c r="A90" s="198" t="s">
        <v>127</v>
      </c>
      <c r="B90" s="185"/>
      <c r="C90" s="185"/>
      <c r="D90" s="185"/>
    </row>
    <row r="91" spans="1:4">
      <c r="A91" s="184" t="s">
        <v>128</v>
      </c>
      <c r="B91" s="186"/>
      <c r="C91" s="186"/>
      <c r="D91" s="186"/>
    </row>
    <row r="92" spans="1:4">
      <c r="A92" s="21" t="s">
        <v>129</v>
      </c>
      <c r="B92" s="2" t="s">
        <v>130</v>
      </c>
      <c r="C92" s="22" t="s">
        <v>38</v>
      </c>
      <c r="D92" s="22" t="s">
        <v>19</v>
      </c>
    </row>
    <row r="93" spans="1:4">
      <c r="A93" s="21" t="s">
        <v>42</v>
      </c>
      <c r="B93" s="88" t="s">
        <v>132</v>
      </c>
      <c r="C93" s="90">
        <f>(((1+1/3)/12)/12)+((1/12)/12)</f>
        <v>1.6203703703703703E-2</v>
      </c>
      <c r="D93" s="63">
        <f t="shared" ref="D93:D97" si="1">TRUNC(($D$88*C93),2)</f>
        <v>51.46</v>
      </c>
    </row>
    <row r="94" spans="1:4">
      <c r="A94" s="21" t="s">
        <v>45</v>
      </c>
      <c r="B94" s="88" t="s">
        <v>133</v>
      </c>
      <c r="C94" s="91">
        <f>((5/30)/12)</f>
        <v>1.3888888888888888E-2</v>
      </c>
      <c r="D94" s="92">
        <f t="shared" si="1"/>
        <v>44.11</v>
      </c>
    </row>
    <row r="95" spans="1:4">
      <c r="A95" s="21" t="s">
        <v>48</v>
      </c>
      <c r="B95" s="88" t="s">
        <v>134</v>
      </c>
      <c r="C95" s="91">
        <f>((5/30)/12)*0.02</f>
        <v>2.7777777777777778E-4</v>
      </c>
      <c r="D95" s="92">
        <f t="shared" si="1"/>
        <v>0.88</v>
      </c>
    </row>
    <row r="96" spans="1:4" ht="30">
      <c r="A96" s="21" t="s">
        <v>50</v>
      </c>
      <c r="B96" s="89" t="s">
        <v>135</v>
      </c>
      <c r="C96" s="93">
        <f>((15/30)/12)*0.08</f>
        <v>3.3333333333333331E-3</v>
      </c>
      <c r="D96" s="92">
        <f t="shared" si="1"/>
        <v>10.58</v>
      </c>
    </row>
    <row r="97" spans="1:4">
      <c r="A97" s="21" t="s">
        <v>53</v>
      </c>
      <c r="B97" s="88" t="s">
        <v>136</v>
      </c>
      <c r="C97" s="91">
        <f>((1+1/3)/12)*0.00001*((4/12))</f>
        <v>3.7037037037037031E-7</v>
      </c>
      <c r="D97" s="92">
        <f t="shared" si="1"/>
        <v>0</v>
      </c>
    </row>
    <row r="98" spans="1:4" ht="30">
      <c r="A98" s="21" t="s">
        <v>55</v>
      </c>
      <c r="B98" s="89" t="s">
        <v>214</v>
      </c>
      <c r="C98" s="94">
        <v>0</v>
      </c>
      <c r="D98" s="92">
        <f>TRUNC($D$88*C98)</f>
        <v>0</v>
      </c>
    </row>
    <row r="99" spans="1:4">
      <c r="A99" s="21" t="s">
        <v>58</v>
      </c>
      <c r="B99" s="88"/>
      <c r="C99" s="90">
        <f>SUBTOTAL(109,Submódulo4.159_54110[Percentual])</f>
        <v>3.3704074074074074E-2</v>
      </c>
      <c r="D99" s="63">
        <f>TRUNC((SUM(D93:D98)),2)</f>
        <v>107.03</v>
      </c>
    </row>
    <row r="100" spans="1:4">
      <c r="A100" s="21"/>
      <c r="C100" s="22"/>
      <c r="D100" s="28"/>
    </row>
    <row r="101" spans="1:4">
      <c r="A101" s="184" t="s">
        <v>144</v>
      </c>
      <c r="B101" s="186"/>
      <c r="C101" s="186"/>
      <c r="D101" s="186"/>
    </row>
    <row r="102" spans="1:4">
      <c r="A102" s="21" t="s">
        <v>145</v>
      </c>
      <c r="B102" s="2" t="s">
        <v>146</v>
      </c>
      <c r="C102" s="22" t="s">
        <v>18</v>
      </c>
      <c r="D102" s="22" t="s">
        <v>19</v>
      </c>
    </row>
    <row r="103" spans="1:4" ht="75">
      <c r="A103" s="21" t="s">
        <v>42</v>
      </c>
      <c r="B103" s="47" t="s">
        <v>147</v>
      </c>
      <c r="C103" s="48" t="s">
        <v>215</v>
      </c>
      <c r="D103" s="49" t="s">
        <v>216</v>
      </c>
    </row>
    <row r="104" spans="1:4">
      <c r="A104" s="21" t="s">
        <v>58</v>
      </c>
      <c r="C104" s="50"/>
      <c r="D104" s="51" t="str">
        <f>D103</f>
        <v>*=TRUNCAR(($D$86/220)*(1*(365/12))/2)</v>
      </c>
    </row>
    <row r="106" spans="1:4">
      <c r="A106" s="184" t="s">
        <v>148</v>
      </c>
      <c r="B106" s="186"/>
      <c r="C106" s="186"/>
      <c r="D106" s="186"/>
    </row>
    <row r="107" spans="1:4">
      <c r="A107" s="21" t="s">
        <v>149</v>
      </c>
      <c r="B107" s="2" t="s">
        <v>150</v>
      </c>
      <c r="C107" s="22" t="s">
        <v>18</v>
      </c>
      <c r="D107" s="22" t="s">
        <v>19</v>
      </c>
    </row>
    <row r="108" spans="1:4">
      <c r="A108" s="21" t="s">
        <v>129</v>
      </c>
      <c r="B108" t="s">
        <v>130</v>
      </c>
      <c r="D108" s="24">
        <f>D99</f>
        <v>107.03</v>
      </c>
    </row>
    <row r="109" spans="1:4">
      <c r="A109" s="21" t="s">
        <v>145</v>
      </c>
      <c r="B109" t="s">
        <v>151</v>
      </c>
      <c r="C109" s="2"/>
      <c r="D109" s="52" t="str">
        <f>Submódulo4.260_55107[[#Totals],[Valor]]</f>
        <v>*=TRUNCAR(($D$86/220)*(1*(365/12))/2)</v>
      </c>
    </row>
    <row r="110" spans="1:4" ht="45">
      <c r="A110" s="21" t="s">
        <v>58</v>
      </c>
      <c r="B110" s="40"/>
      <c r="C110" s="48" t="s">
        <v>217</v>
      </c>
      <c r="D110" s="53">
        <f>TRUNC((SUM(D108:D109)),2)</f>
        <v>107.03</v>
      </c>
    </row>
    <row r="112" spans="1:4">
      <c r="A112" s="190" t="s">
        <v>152</v>
      </c>
      <c r="B112" s="183"/>
      <c r="C112" s="183"/>
      <c r="D112" s="183"/>
    </row>
    <row r="113" spans="1:11" ht="36.950000000000003" customHeight="1">
      <c r="A113" s="21" t="s">
        <v>153</v>
      </c>
      <c r="B113" s="40" t="s">
        <v>154</v>
      </c>
      <c r="C113" s="21" t="s">
        <v>18</v>
      </c>
      <c r="D113" s="21" t="s">
        <v>19</v>
      </c>
      <c r="H113" s="54" t="s">
        <v>218</v>
      </c>
      <c r="I113" s="55" t="s">
        <v>219</v>
      </c>
      <c r="J113" s="55" t="s">
        <v>220</v>
      </c>
      <c r="K113" s="55" t="s">
        <v>221</v>
      </c>
    </row>
    <row r="114" spans="1:11">
      <c r="A114" s="21" t="s">
        <v>42</v>
      </c>
      <c r="B114" t="s">
        <v>222</v>
      </c>
      <c r="D114" s="56">
        <f>F114</f>
        <v>0</v>
      </c>
      <c r="F114" cm="1">
        <f t="array" ref="F114:G114">'Uniformes e EPI'!G15:H15</f>
        <v>0</v>
      </c>
      <c r="G114">
        <v>0</v>
      </c>
      <c r="H114" s="57" t="s">
        <v>223</v>
      </c>
      <c r="I114" s="58">
        <v>0</v>
      </c>
      <c r="J114" s="59">
        <v>70</v>
      </c>
      <c r="K114" s="59">
        <f>TRUNC(J114*I114,2)</f>
        <v>0</v>
      </c>
    </row>
    <row r="115" spans="1:11">
      <c r="A115" s="21" t="s">
        <v>45</v>
      </c>
      <c r="B115" t="s">
        <v>224</v>
      </c>
      <c r="D115" s="56">
        <v>0</v>
      </c>
      <c r="H115" s="60" t="s">
        <v>225</v>
      </c>
      <c r="I115" s="61">
        <v>0</v>
      </c>
      <c r="J115" s="62">
        <v>35</v>
      </c>
      <c r="K115" s="59">
        <f>TRUNC(J115*I115,2)</f>
        <v>0</v>
      </c>
    </row>
    <row r="116" spans="1:11">
      <c r="A116" s="21" t="s">
        <v>48</v>
      </c>
      <c r="B116" t="s">
        <v>156</v>
      </c>
      <c r="D116" s="56">
        <v>0</v>
      </c>
      <c r="H116" s="194" t="s">
        <v>204</v>
      </c>
      <c r="I116" s="195"/>
      <c r="J116" s="196">
        <f>TRUNC(SUM(K114:K115),2)</f>
        <v>0</v>
      </c>
      <c r="K116" s="197"/>
    </row>
    <row r="117" spans="1:11">
      <c r="A117" s="21" t="s">
        <v>50</v>
      </c>
      <c r="B117" t="s">
        <v>157</v>
      </c>
      <c r="D117" s="56">
        <v>0</v>
      </c>
      <c r="H117" s="194" t="s">
        <v>226</v>
      </c>
      <c r="I117" s="195"/>
      <c r="J117" s="196">
        <f>TRUNC(J116/12,2)</f>
        <v>0</v>
      </c>
      <c r="K117" s="197"/>
    </row>
    <row r="118" spans="1:11">
      <c r="A118" s="21" t="s">
        <v>53</v>
      </c>
      <c r="B118" t="s">
        <v>227</v>
      </c>
      <c r="C118" s="22"/>
      <c r="D118" s="95">
        <f>J117</f>
        <v>0</v>
      </c>
      <c r="H118" s="193" t="s">
        <v>228</v>
      </c>
      <c r="I118" s="193"/>
      <c r="J118" s="193"/>
      <c r="K118" s="193"/>
    </row>
    <row r="119" spans="1:11">
      <c r="A119" s="21" t="s">
        <v>58</v>
      </c>
      <c r="D119" s="63">
        <f>TRUNC(SUM(D114:D118),2)</f>
        <v>0</v>
      </c>
      <c r="H119" s="193"/>
      <c r="I119" s="193"/>
      <c r="J119" s="193"/>
      <c r="K119" s="193"/>
    </row>
    <row r="121" spans="1:11">
      <c r="A121" s="192" t="s">
        <v>229</v>
      </c>
      <c r="B121" s="192"/>
      <c r="C121" s="33" t="s">
        <v>202</v>
      </c>
      <c r="D121" s="34">
        <f>D31</f>
        <v>1619.68</v>
      </c>
    </row>
    <row r="122" spans="1:11">
      <c r="A122" s="192"/>
      <c r="B122" s="192"/>
      <c r="C122" s="35" t="s">
        <v>212</v>
      </c>
      <c r="D122" s="34">
        <f>D73</f>
        <v>1459.82</v>
      </c>
    </row>
    <row r="123" spans="1:11">
      <c r="A123" s="192"/>
      <c r="B123" s="192"/>
      <c r="C123" s="33" t="s">
        <v>213</v>
      </c>
      <c r="D123" s="34">
        <f>D83</f>
        <v>96.93</v>
      </c>
    </row>
    <row r="124" spans="1:11">
      <c r="A124" s="192"/>
      <c r="B124" s="192"/>
      <c r="C124" s="35" t="s">
        <v>230</v>
      </c>
      <c r="D124" s="34">
        <f>D110</f>
        <v>107.03</v>
      </c>
    </row>
    <row r="125" spans="1:11">
      <c r="A125" s="192"/>
      <c r="B125" s="192"/>
      <c r="C125" s="33" t="s">
        <v>231</v>
      </c>
      <c r="D125" s="34">
        <f>D119</f>
        <v>0</v>
      </c>
    </row>
    <row r="126" spans="1:11">
      <c r="A126" s="192"/>
      <c r="B126" s="192"/>
      <c r="C126" s="35" t="s">
        <v>204</v>
      </c>
      <c r="D126" s="36">
        <f>TRUNC((SUM(D121:D125)),2)</f>
        <v>3283.46</v>
      </c>
    </row>
    <row r="128" spans="1:11">
      <c r="A128" s="190" t="s">
        <v>164</v>
      </c>
      <c r="B128" s="183"/>
      <c r="C128" s="183"/>
      <c r="D128" s="183"/>
    </row>
    <row r="129" spans="1:9">
      <c r="A129" s="21" t="s">
        <v>165</v>
      </c>
      <c r="B129" t="s">
        <v>166</v>
      </c>
      <c r="C129" s="22" t="s">
        <v>38</v>
      </c>
      <c r="D129" s="22" t="s">
        <v>19</v>
      </c>
      <c r="H129" s="191" t="s">
        <v>232</v>
      </c>
      <c r="I129" s="191"/>
    </row>
    <row r="130" spans="1:9">
      <c r="A130" s="21" t="s">
        <v>42</v>
      </c>
      <c r="B130" t="s">
        <v>167</v>
      </c>
      <c r="C130" s="38">
        <v>0</v>
      </c>
      <c r="D130" s="24">
        <f>TRUNC(($D$126*C130),2)</f>
        <v>0</v>
      </c>
      <c r="H130" s="57" t="s">
        <v>233</v>
      </c>
      <c r="I130" s="45">
        <f>C132</f>
        <v>8.6499999999999994E-2</v>
      </c>
    </row>
    <row r="131" spans="1:9">
      <c r="A131" s="21" t="s">
        <v>45</v>
      </c>
      <c r="B131" t="s">
        <v>59</v>
      </c>
      <c r="C131" s="38">
        <v>0</v>
      </c>
      <c r="D131" s="24">
        <f>TRUNC((C131*(D126+D130)),2)</f>
        <v>0</v>
      </c>
      <c r="H131" s="64" t="s">
        <v>234</v>
      </c>
      <c r="I131" s="65">
        <f>TRUNC(SUM(D126,D130,D131),2)</f>
        <v>3283.46</v>
      </c>
    </row>
    <row r="132" spans="1:9">
      <c r="A132" s="21" t="s">
        <v>48</v>
      </c>
      <c r="B132" t="s">
        <v>168</v>
      </c>
      <c r="C132" s="38">
        <f>SUM(C133:C135)</f>
        <v>8.6499999999999994E-2</v>
      </c>
      <c r="D132" s="24">
        <f>TRUNC((SUM(D133:D135)),2)</f>
        <v>310.89999999999998</v>
      </c>
      <c r="H132" s="57" t="s">
        <v>235</v>
      </c>
      <c r="I132" s="66">
        <f>(100-8.65)/100</f>
        <v>0.91349999999999998</v>
      </c>
    </row>
    <row r="133" spans="1:9">
      <c r="A133" s="21"/>
      <c r="B133" t="s">
        <v>236</v>
      </c>
      <c r="C133" s="38">
        <v>6.4999999999999997E-3</v>
      </c>
      <c r="D133" s="24">
        <f t="shared" ref="D133:D135" si="2">TRUNC(($I$133*C133),2)</f>
        <v>23.36</v>
      </c>
      <c r="H133" s="64" t="s">
        <v>232</v>
      </c>
      <c r="I133" s="65">
        <f>TRUNC((I131/I132),2)</f>
        <v>3594.37</v>
      </c>
    </row>
    <row r="134" spans="1:9">
      <c r="A134" s="21"/>
      <c r="B134" t="s">
        <v>237</v>
      </c>
      <c r="C134" s="38">
        <v>0.03</v>
      </c>
      <c r="D134" s="24">
        <f t="shared" si="2"/>
        <v>107.83</v>
      </c>
    </row>
    <row r="135" spans="1:9">
      <c r="A135" s="21"/>
      <c r="B135" t="s">
        <v>238</v>
      </c>
      <c r="C135" s="38">
        <v>0.05</v>
      </c>
      <c r="D135" s="24">
        <f t="shared" si="2"/>
        <v>179.71</v>
      </c>
    </row>
    <row r="136" spans="1:9">
      <c r="A136" s="21" t="s">
        <v>58</v>
      </c>
      <c r="B136" s="88"/>
      <c r="C136" s="67"/>
      <c r="D136" s="28">
        <f>TRUNC(SUM(D130:D132),2)</f>
        <v>310.89999999999998</v>
      </c>
    </row>
    <row r="137" spans="1:9">
      <c r="A137" s="21"/>
      <c r="C137" s="67"/>
      <c r="D137" s="28"/>
    </row>
    <row r="139" spans="1:9">
      <c r="A139" s="190" t="s">
        <v>172</v>
      </c>
      <c r="B139" s="183"/>
      <c r="C139" s="183"/>
      <c r="D139" s="183"/>
    </row>
    <row r="140" spans="1:9">
      <c r="A140" s="21" t="s">
        <v>16</v>
      </c>
      <c r="B140" s="22" t="s">
        <v>173</v>
      </c>
      <c r="C140" s="22" t="s">
        <v>102</v>
      </c>
      <c r="D140" s="22" t="s">
        <v>19</v>
      </c>
    </row>
    <row r="141" spans="1:9">
      <c r="A141" s="21" t="s">
        <v>42</v>
      </c>
      <c r="B141" t="s">
        <v>36</v>
      </c>
      <c r="D141" s="28">
        <f>D31</f>
        <v>1619.68</v>
      </c>
    </row>
    <row r="142" spans="1:9">
      <c r="A142" s="21" t="s">
        <v>45</v>
      </c>
      <c r="B142" t="s">
        <v>61</v>
      </c>
      <c r="D142" s="28">
        <f>D73</f>
        <v>1459.82</v>
      </c>
    </row>
    <row r="143" spans="1:9">
      <c r="A143" s="21" t="s">
        <v>48</v>
      </c>
      <c r="B143" t="s">
        <v>108</v>
      </c>
      <c r="D143" s="28">
        <f>D83</f>
        <v>96.93</v>
      </c>
    </row>
    <row r="144" spans="1:9">
      <c r="A144" s="21" t="s">
        <v>50</v>
      </c>
      <c r="B144" t="s">
        <v>174</v>
      </c>
      <c r="D144" s="28">
        <f>D110</f>
        <v>107.03</v>
      </c>
    </row>
    <row r="145" spans="1:4">
      <c r="A145" s="21" t="s">
        <v>53</v>
      </c>
      <c r="B145" t="s">
        <v>152</v>
      </c>
      <c r="D145" s="28">
        <f>D119</f>
        <v>0</v>
      </c>
    </row>
    <row r="146" spans="1:4">
      <c r="B146" s="68" t="s">
        <v>239</v>
      </c>
      <c r="D146" s="28">
        <f>TRUNC(SUM(D141:D145),2)</f>
        <v>3283.46</v>
      </c>
    </row>
    <row r="147" spans="1:4">
      <c r="A147" s="21" t="s">
        <v>55</v>
      </c>
      <c r="B147" t="s">
        <v>164</v>
      </c>
      <c r="D147" s="28">
        <f>D136</f>
        <v>310.89999999999998</v>
      </c>
    </row>
    <row r="148" spans="1:4">
      <c r="A148" s="87"/>
      <c r="B148" s="70" t="s">
        <v>240</v>
      </c>
      <c r="C148" s="71"/>
      <c r="D148" s="72">
        <f>TRUNC((SUM(D141:D145)+D147),2)</f>
        <v>3594.36</v>
      </c>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A91:D91"/>
    <mergeCell ref="A101:D101"/>
    <mergeCell ref="H31:I31"/>
    <mergeCell ref="A33:D33"/>
    <mergeCell ref="A35:D35"/>
    <mergeCell ref="A45:D45"/>
    <mergeCell ref="A57:D57"/>
    <mergeCell ref="A128:D128"/>
    <mergeCell ref="H129:I129"/>
    <mergeCell ref="A139:D139"/>
    <mergeCell ref="A41:B43"/>
    <mergeCell ref="A85:B88"/>
    <mergeCell ref="A121:B126"/>
    <mergeCell ref="H118:K119"/>
    <mergeCell ref="A106:D106"/>
    <mergeCell ref="A112:D112"/>
    <mergeCell ref="H116:I116"/>
    <mergeCell ref="J116:K116"/>
    <mergeCell ref="H117:I117"/>
    <mergeCell ref="J117:K117"/>
    <mergeCell ref="A68:D68"/>
    <mergeCell ref="A75:D75"/>
    <mergeCell ref="A90:D90"/>
  </mergeCells>
  <pageMargins left="0.25" right="0.25" top="0.75" bottom="0.75" header="0.3" footer="0.3"/>
  <pageSetup paperSize="9" scale="73" fitToHeight="0" orientation="portrait"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K148"/>
  <sheetViews>
    <sheetView workbookViewId="0">
      <selection activeCell="H14" sqref="H14"/>
    </sheetView>
  </sheetViews>
  <sheetFormatPr defaultColWidth="9.140625" defaultRowHeight="15"/>
  <cols>
    <col min="1" max="1" width="12" style="79" customWidth="1"/>
    <col min="2" max="2" width="52.7109375" customWidth="1"/>
    <col min="3" max="3" width="36" customWidth="1"/>
    <col min="4" max="4" width="38.140625" customWidth="1"/>
    <col min="6" max="7" width="0" hidden="1" customWidth="1"/>
    <col min="8" max="8" width="22.85546875" customWidth="1"/>
    <col min="9" max="9" width="13.28515625" customWidth="1"/>
    <col min="10" max="10" width="11" customWidth="1"/>
    <col min="11" max="11" width="11.42578125" customWidth="1"/>
  </cols>
  <sheetData>
    <row r="2" spans="1:9" ht="18.75">
      <c r="A2" s="208" t="s">
        <v>177</v>
      </c>
      <c r="B2" s="209"/>
      <c r="C2" s="209"/>
      <c r="D2" s="209"/>
    </row>
    <row r="3" spans="1:9">
      <c r="A3" s="210" t="str">
        <f>Pedreiro!A3</f>
        <v>Processo Administrativo n.° 23324.000132.2023-89</v>
      </c>
      <c r="B3" s="211"/>
      <c r="C3" s="211"/>
      <c r="D3" s="211"/>
    </row>
    <row r="4" spans="1:9">
      <c r="A4" s="80" t="s">
        <v>178</v>
      </c>
      <c r="B4" s="6" t="s">
        <v>419</v>
      </c>
      <c r="C4" s="7"/>
      <c r="D4" s="7"/>
    </row>
    <row r="5" spans="1:9">
      <c r="A5" s="81"/>
      <c r="B5" s="9"/>
      <c r="C5" s="9"/>
      <c r="D5" s="9"/>
    </row>
    <row r="6" spans="1:9">
      <c r="A6" s="190" t="s">
        <v>179</v>
      </c>
      <c r="B6" s="183"/>
      <c r="C6" s="183"/>
      <c r="D6" s="183"/>
    </row>
    <row r="7" spans="1:9">
      <c r="A7" s="10" t="s">
        <v>42</v>
      </c>
      <c r="B7" s="11" t="s">
        <v>180</v>
      </c>
      <c r="C7" s="212" t="str">
        <f>Pedreiro!C7</f>
        <v>xx/02/2023</v>
      </c>
      <c r="D7" s="213"/>
    </row>
    <row r="8" spans="1:9">
      <c r="A8" s="12" t="s">
        <v>45</v>
      </c>
      <c r="B8" s="13" t="s">
        <v>181</v>
      </c>
      <c r="C8" s="203" t="s">
        <v>182</v>
      </c>
      <c r="D8" s="203"/>
    </row>
    <row r="9" spans="1:9">
      <c r="A9" s="15" t="s">
        <v>48</v>
      </c>
      <c r="B9" s="16" t="s">
        <v>183</v>
      </c>
      <c r="C9" s="203" t="str">
        <f>Pedreiro!C9</f>
        <v>CCT PB000517/2021</v>
      </c>
      <c r="D9" s="203"/>
    </row>
    <row r="10" spans="1:9">
      <c r="A10" s="12" t="s">
        <v>53</v>
      </c>
      <c r="B10" s="13" t="s">
        <v>185</v>
      </c>
      <c r="C10" s="203" t="s">
        <v>186</v>
      </c>
      <c r="D10" s="203"/>
    </row>
    <row r="11" spans="1:9">
      <c r="A11" s="201" t="s">
        <v>187</v>
      </c>
      <c r="B11" s="202"/>
      <c r="C11" s="202"/>
      <c r="D11" s="202"/>
    </row>
    <row r="12" spans="1:9">
      <c r="A12" s="204" t="s">
        <v>188</v>
      </c>
      <c r="B12" s="205"/>
      <c r="C12" s="17" t="s">
        <v>189</v>
      </c>
      <c r="D12" s="18" t="s">
        <v>190</v>
      </c>
    </row>
    <row r="13" spans="1:9">
      <c r="A13" s="206" t="s">
        <v>241</v>
      </c>
      <c r="B13" s="207"/>
      <c r="C13" s="14" t="s">
        <v>192</v>
      </c>
      <c r="D13" s="19">
        <f>RESUMO!D4</f>
        <v>1</v>
      </c>
    </row>
    <row r="14" spans="1:9">
      <c r="A14" s="199"/>
      <c r="B14" s="200"/>
      <c r="C14" s="14"/>
      <c r="D14" s="20"/>
    </row>
    <row r="15" spans="1:9">
      <c r="A15" s="201" t="s">
        <v>14</v>
      </c>
      <c r="B15" s="202"/>
      <c r="C15" s="202"/>
      <c r="D15" s="202"/>
      <c r="H15" s="186"/>
      <c r="I15" s="186"/>
    </row>
    <row r="16" spans="1:9">
      <c r="A16" s="21" t="s">
        <v>16</v>
      </c>
      <c r="B16" t="s">
        <v>17</v>
      </c>
      <c r="C16" s="22" t="s">
        <v>18</v>
      </c>
      <c r="D16" s="22" t="s">
        <v>19</v>
      </c>
    </row>
    <row r="17" spans="1:9">
      <c r="A17" s="21">
        <v>1</v>
      </c>
      <c r="B17" t="s">
        <v>20</v>
      </c>
      <c r="C17" s="23" t="s">
        <v>102</v>
      </c>
      <c r="D17" s="23" t="str">
        <f>A13</f>
        <v>Eletricista</v>
      </c>
    </row>
    <row r="18" spans="1:9">
      <c r="A18" s="21">
        <v>2</v>
      </c>
      <c r="B18" t="s">
        <v>23</v>
      </c>
      <c r="C18" s="23" t="s">
        <v>193</v>
      </c>
      <c r="D18" s="23" t="s">
        <v>242</v>
      </c>
    </row>
    <row r="19" spans="1:9">
      <c r="A19" s="21">
        <v>3</v>
      </c>
      <c r="B19" t="s">
        <v>26</v>
      </c>
      <c r="C19" s="23" t="str">
        <f>C9</f>
        <v>CCT PB000517/2021</v>
      </c>
      <c r="D19" s="24">
        <v>1619.68</v>
      </c>
    </row>
    <row r="20" spans="1:9">
      <c r="A20" s="21">
        <v>4</v>
      </c>
      <c r="B20" t="s">
        <v>29</v>
      </c>
      <c r="C20" s="23" t="str">
        <f>C9</f>
        <v>CCT PB000517/2021</v>
      </c>
      <c r="D20" s="25" t="s">
        <v>195</v>
      </c>
    </row>
    <row r="21" spans="1:9">
      <c r="A21" s="21">
        <v>5</v>
      </c>
      <c r="B21" t="s">
        <v>33</v>
      </c>
      <c r="C21" s="23" t="str">
        <f>C9</f>
        <v>CCT PB000517/2021</v>
      </c>
      <c r="D21" s="26" t="s">
        <v>196</v>
      </c>
    </row>
    <row r="22" spans="1:9">
      <c r="H22" s="186"/>
      <c r="I22" s="186"/>
    </row>
    <row r="23" spans="1:9">
      <c r="A23" s="190" t="s">
        <v>36</v>
      </c>
      <c r="B23" s="183"/>
      <c r="C23" s="183"/>
      <c r="D23" s="183"/>
    </row>
    <row r="24" spans="1:9">
      <c r="A24" s="21" t="s">
        <v>39</v>
      </c>
      <c r="B24" s="2" t="s">
        <v>40</v>
      </c>
      <c r="C24" s="22" t="s">
        <v>18</v>
      </c>
      <c r="D24" s="22" t="s">
        <v>19</v>
      </c>
      <c r="I24" s="27"/>
    </row>
    <row r="25" spans="1:9">
      <c r="A25" s="21" t="s">
        <v>42</v>
      </c>
      <c r="B25" t="s">
        <v>43</v>
      </c>
      <c r="C25" s="25" t="s">
        <v>197</v>
      </c>
      <c r="D25" s="24">
        <f>D19</f>
        <v>1619.68</v>
      </c>
      <c r="I25" s="27"/>
    </row>
    <row r="26" spans="1:9">
      <c r="A26" s="21" t="s">
        <v>45</v>
      </c>
      <c r="B26" t="s">
        <v>46</v>
      </c>
      <c r="C26" s="25" t="s">
        <v>243</v>
      </c>
      <c r="D26" s="39">
        <f>TRUNC((D25*30%),2)</f>
        <v>485.9</v>
      </c>
      <c r="I26" s="27"/>
    </row>
    <row r="27" spans="1:9">
      <c r="A27" s="21" t="s">
        <v>48</v>
      </c>
      <c r="B27" t="s">
        <v>49</v>
      </c>
      <c r="C27" s="25"/>
      <c r="D27" s="24">
        <v>0</v>
      </c>
    </row>
    <row r="28" spans="1:9">
      <c r="A28" s="21" t="s">
        <v>50</v>
      </c>
      <c r="B28" t="s">
        <v>51</v>
      </c>
      <c r="C28" s="25"/>
      <c r="D28" s="24">
        <v>0</v>
      </c>
    </row>
    <row r="29" spans="1:9">
      <c r="A29" s="21" t="s">
        <v>53</v>
      </c>
      <c r="B29" t="s">
        <v>54</v>
      </c>
      <c r="C29" s="25"/>
      <c r="D29" s="24">
        <v>0</v>
      </c>
    </row>
    <row r="30" spans="1:9">
      <c r="A30" s="21" t="s">
        <v>55</v>
      </c>
      <c r="B30" t="s">
        <v>56</v>
      </c>
      <c r="C30" s="25"/>
      <c r="D30" s="24">
        <v>0</v>
      </c>
    </row>
    <row r="31" spans="1:9">
      <c r="A31" s="21" t="s">
        <v>58</v>
      </c>
      <c r="C31" s="22"/>
      <c r="D31" s="28">
        <f>TRUNC(SUM(D25:D30),2)</f>
        <v>2105.58</v>
      </c>
      <c r="H31" s="186"/>
      <c r="I31" s="186"/>
    </row>
    <row r="33" spans="1:9">
      <c r="A33" s="192" t="s">
        <v>61</v>
      </c>
      <c r="B33" s="187"/>
      <c r="C33" s="187"/>
      <c r="D33" s="187"/>
      <c r="I33" s="27"/>
    </row>
    <row r="35" spans="1:9">
      <c r="A35" s="184" t="s">
        <v>63</v>
      </c>
      <c r="B35" s="186"/>
      <c r="C35" s="186"/>
      <c r="D35" s="186"/>
    </row>
    <row r="36" spans="1:9">
      <c r="A36" s="21" t="s">
        <v>65</v>
      </c>
      <c r="B36" s="2" t="s">
        <v>66</v>
      </c>
      <c r="C36" s="22" t="s">
        <v>38</v>
      </c>
      <c r="D36" s="22" t="s">
        <v>19</v>
      </c>
    </row>
    <row r="37" spans="1:9">
      <c r="A37" s="21" t="s">
        <v>42</v>
      </c>
      <c r="B37" t="s">
        <v>67</v>
      </c>
      <c r="C37" s="31">
        <f>(1/12)</f>
        <v>8.3333333333333329E-2</v>
      </c>
      <c r="D37" s="28">
        <f>TRUNC($D$31*C37,2)</f>
        <v>175.46</v>
      </c>
      <c r="H37" s="32"/>
      <c r="I37" s="32"/>
    </row>
    <row r="38" spans="1:9">
      <c r="A38" s="21" t="s">
        <v>45</v>
      </c>
      <c r="B38" t="s">
        <v>68</v>
      </c>
      <c r="C38" s="31">
        <f>(((1+1/3)/12))</f>
        <v>0.1111111111111111</v>
      </c>
      <c r="D38" s="28">
        <f>TRUNC($D$31*C38,2)</f>
        <v>233.95</v>
      </c>
      <c r="H38" s="32"/>
      <c r="I38" s="32"/>
    </row>
    <row r="39" spans="1:9">
      <c r="A39" s="21" t="s">
        <v>58</v>
      </c>
      <c r="D39" s="28">
        <f>TRUNC((SUM(D37:D38)),2)</f>
        <v>409.41</v>
      </c>
      <c r="H39" s="32"/>
      <c r="I39" s="32"/>
    </row>
    <row r="40" spans="1:9">
      <c r="D40" s="28"/>
      <c r="H40" s="32"/>
      <c r="I40" s="32"/>
    </row>
    <row r="41" spans="1:9">
      <c r="A41" s="192" t="s">
        <v>201</v>
      </c>
      <c r="B41" s="192"/>
      <c r="C41" s="33" t="s">
        <v>202</v>
      </c>
      <c r="D41" s="34">
        <f>D31</f>
        <v>2105.58</v>
      </c>
      <c r="H41" s="32"/>
      <c r="I41" s="32"/>
    </row>
    <row r="42" spans="1:9">
      <c r="A42" s="192"/>
      <c r="B42" s="192"/>
      <c r="C42" s="35" t="s">
        <v>203</v>
      </c>
      <c r="D42" s="34">
        <f>D39</f>
        <v>409.41</v>
      </c>
      <c r="H42" s="32"/>
      <c r="I42" s="32"/>
    </row>
    <row r="43" spans="1:9">
      <c r="A43" s="192"/>
      <c r="B43" s="192"/>
      <c r="C43" s="33" t="s">
        <v>204</v>
      </c>
      <c r="D43" s="36">
        <f>TRUNC((SUM(D41:D42)),2)</f>
        <v>2514.9899999999998</v>
      </c>
      <c r="H43" s="32"/>
      <c r="I43" s="32"/>
    </row>
    <row r="44" spans="1:9">
      <c r="A44" s="21"/>
      <c r="C44" s="37"/>
      <c r="D44" s="28"/>
      <c r="H44" s="32"/>
      <c r="I44" s="32"/>
    </row>
    <row r="45" spans="1:9">
      <c r="A45" s="184" t="s">
        <v>77</v>
      </c>
      <c r="B45" s="186"/>
      <c r="C45" s="186"/>
      <c r="D45" s="186"/>
    </row>
    <row r="46" spans="1:9">
      <c r="A46" s="21" t="s">
        <v>78</v>
      </c>
      <c r="B46" s="2" t="s">
        <v>79</v>
      </c>
      <c r="C46" s="22" t="s">
        <v>38</v>
      </c>
      <c r="D46" s="22" t="s">
        <v>80</v>
      </c>
    </row>
    <row r="47" spans="1:9">
      <c r="A47" s="21" t="s">
        <v>42</v>
      </c>
      <c r="B47" t="s">
        <v>81</v>
      </c>
      <c r="C47" s="31">
        <v>0.2</v>
      </c>
      <c r="D47" s="28">
        <f t="shared" ref="D47:D54" si="0">TRUNC(($D$43*C47),2)</f>
        <v>502.99</v>
      </c>
    </row>
    <row r="48" spans="1:9">
      <c r="A48" s="21" t="s">
        <v>45</v>
      </c>
      <c r="B48" t="s">
        <v>82</v>
      </c>
      <c r="C48" s="31">
        <v>2.5000000000000001E-2</v>
      </c>
      <c r="D48" s="28">
        <f t="shared" si="0"/>
        <v>62.87</v>
      </c>
    </row>
    <row r="49" spans="1:8">
      <c r="A49" s="21" t="s">
        <v>48</v>
      </c>
      <c r="B49" t="s">
        <v>205</v>
      </c>
      <c r="C49" s="38">
        <v>0.03</v>
      </c>
      <c r="D49" s="24">
        <f t="shared" si="0"/>
        <v>75.44</v>
      </c>
    </row>
    <row r="50" spans="1:8">
      <c r="A50" s="21" t="s">
        <v>50</v>
      </c>
      <c r="B50" t="s">
        <v>84</v>
      </c>
      <c r="C50" s="31">
        <v>1.4999999999999999E-2</v>
      </c>
      <c r="D50" s="28">
        <f t="shared" si="0"/>
        <v>37.72</v>
      </c>
    </row>
    <row r="51" spans="1:8">
      <c r="A51" s="21" t="s">
        <v>53</v>
      </c>
      <c r="B51" t="s">
        <v>85</v>
      </c>
      <c r="C51" s="31">
        <v>0.01</v>
      </c>
      <c r="D51" s="28">
        <f t="shared" si="0"/>
        <v>25.14</v>
      </c>
    </row>
    <row r="52" spans="1:8">
      <c r="A52" s="21" t="s">
        <v>55</v>
      </c>
      <c r="B52" t="s">
        <v>86</v>
      </c>
      <c r="C52" s="31">
        <v>6.0000000000000001E-3</v>
      </c>
      <c r="D52" s="28">
        <f t="shared" si="0"/>
        <v>15.08</v>
      </c>
    </row>
    <row r="53" spans="1:8">
      <c r="A53" s="21" t="s">
        <v>87</v>
      </c>
      <c r="B53" t="s">
        <v>88</v>
      </c>
      <c r="C53" s="31">
        <v>2E-3</v>
      </c>
      <c r="D53" s="28">
        <f t="shared" si="0"/>
        <v>5.0199999999999996</v>
      </c>
    </row>
    <row r="54" spans="1:8">
      <c r="A54" s="21" t="s">
        <v>89</v>
      </c>
      <c r="B54" t="s">
        <v>90</v>
      </c>
      <c r="C54" s="31">
        <v>0.08</v>
      </c>
      <c r="D54" s="28">
        <f t="shared" si="0"/>
        <v>201.19</v>
      </c>
    </row>
    <row r="55" spans="1:8">
      <c r="A55" s="21" t="s">
        <v>58</v>
      </c>
      <c r="C55" s="37">
        <f>SUM(C47:C54)</f>
        <v>0.36800000000000005</v>
      </c>
      <c r="D55" s="28">
        <f>TRUNC((SUM(D47:D54)),2)</f>
        <v>925.45</v>
      </c>
    </row>
    <row r="56" spans="1:8">
      <c r="A56" s="21"/>
      <c r="C56" s="37"/>
      <c r="D56" s="28"/>
    </row>
    <row r="57" spans="1:8">
      <c r="A57" s="184" t="s">
        <v>95</v>
      </c>
      <c r="B57" s="186"/>
      <c r="C57" s="186"/>
      <c r="D57" s="186"/>
    </row>
    <row r="58" spans="1:8">
      <c r="A58" s="21" t="s">
        <v>96</v>
      </c>
      <c r="B58" s="2" t="s">
        <v>97</v>
      </c>
      <c r="C58" s="22" t="s">
        <v>18</v>
      </c>
      <c r="D58" s="22" t="s">
        <v>19</v>
      </c>
    </row>
    <row r="59" spans="1:8">
      <c r="A59" s="21" t="s">
        <v>42</v>
      </c>
      <c r="B59" t="s">
        <v>98</v>
      </c>
      <c r="C59" s="23"/>
      <c r="D59" s="39">
        <v>0</v>
      </c>
    </row>
    <row r="60" spans="1:8">
      <c r="A60" s="21" t="s">
        <v>45</v>
      </c>
      <c r="B60" t="s">
        <v>99</v>
      </c>
      <c r="C60" s="23" t="str">
        <f>C9</f>
        <v>CCT PB000517/2021</v>
      </c>
      <c r="D60" s="24">
        <f>TRUNC((((22*20.91))-(((22*20.91))*0.2)),2)</f>
        <v>368.01</v>
      </c>
    </row>
    <row r="61" spans="1:8">
      <c r="A61" s="21" t="s">
        <v>48</v>
      </c>
      <c r="B61" t="s">
        <v>100</v>
      </c>
      <c r="C61" s="23"/>
      <c r="D61" s="24">
        <v>0</v>
      </c>
    </row>
    <row r="62" spans="1:8">
      <c r="A62" s="21" t="s">
        <v>50</v>
      </c>
      <c r="B62" s="40" t="s">
        <v>206</v>
      </c>
      <c r="C62" s="41"/>
      <c r="D62" s="41">
        <v>0</v>
      </c>
      <c r="H62" s="40"/>
    </row>
    <row r="63" spans="1:8">
      <c r="A63" s="21" t="s">
        <v>53</v>
      </c>
      <c r="B63" s="2" t="s">
        <v>207</v>
      </c>
      <c r="C63" s="23" t="str">
        <f>C60</f>
        <v>CCT PB000517/2021</v>
      </c>
      <c r="D63" s="24">
        <v>20</v>
      </c>
    </row>
    <row r="64" spans="1:8">
      <c r="A64" s="21" t="s">
        <v>55</v>
      </c>
      <c r="B64" s="42" t="s">
        <v>208</v>
      </c>
      <c r="C64" s="23" t="str">
        <f>C9</f>
        <v>CCT PB000517/2021</v>
      </c>
      <c r="D64" s="24">
        <v>5</v>
      </c>
    </row>
    <row r="65" spans="1:4">
      <c r="A65" s="21" t="s">
        <v>87</v>
      </c>
      <c r="B65" s="42" t="s">
        <v>209</v>
      </c>
      <c r="C65" s="41" t="str">
        <f>C60</f>
        <v>CCT PB000517/2021</v>
      </c>
      <c r="D65" s="24">
        <v>40</v>
      </c>
    </row>
    <row r="66" spans="1:4">
      <c r="A66" s="21" t="s">
        <v>58</v>
      </c>
      <c r="D66" s="28">
        <f>TRUNC((SUM(D59:D65)),2)</f>
        <v>433.01</v>
      </c>
    </row>
    <row r="67" spans="1:4">
      <c r="A67" s="21"/>
      <c r="D67" s="28"/>
    </row>
    <row r="68" spans="1:4">
      <c r="A68" s="184" t="s">
        <v>105</v>
      </c>
      <c r="B68" s="186"/>
      <c r="C68" s="186"/>
      <c r="D68" s="186"/>
    </row>
    <row r="69" spans="1:4">
      <c r="A69" s="21" t="s">
        <v>106</v>
      </c>
      <c r="B69" s="2" t="s">
        <v>107</v>
      </c>
      <c r="C69" s="22" t="s">
        <v>18</v>
      </c>
      <c r="D69" s="22" t="s">
        <v>19</v>
      </c>
    </row>
    <row r="70" spans="1:4">
      <c r="A70" s="21" t="s">
        <v>65</v>
      </c>
      <c r="B70" t="s">
        <v>66</v>
      </c>
      <c r="C70" s="22"/>
      <c r="D70" s="28">
        <f>D39</f>
        <v>409.41</v>
      </c>
    </row>
    <row r="71" spans="1:4">
      <c r="A71" s="21" t="s">
        <v>78</v>
      </c>
      <c r="B71" t="s">
        <v>79</v>
      </c>
      <c r="C71" s="22"/>
      <c r="D71" s="28">
        <f>D55</f>
        <v>925.45</v>
      </c>
    </row>
    <row r="72" spans="1:4">
      <c r="A72" s="21" t="s">
        <v>96</v>
      </c>
      <c r="B72" t="s">
        <v>97</v>
      </c>
      <c r="C72" s="22"/>
      <c r="D72" s="28">
        <f>D66</f>
        <v>433.01</v>
      </c>
    </row>
    <row r="73" spans="1:4">
      <c r="A73" s="21" t="s">
        <v>58</v>
      </c>
      <c r="C73" s="22"/>
      <c r="D73" s="28">
        <f>TRUNC((SUM(D70:D72)),2)</f>
        <v>1767.87</v>
      </c>
    </row>
    <row r="75" spans="1:4">
      <c r="A75" s="190" t="s">
        <v>108</v>
      </c>
      <c r="B75" s="183"/>
      <c r="C75" s="183"/>
      <c r="D75" s="183"/>
    </row>
    <row r="76" spans="1:4">
      <c r="A76" s="21" t="s">
        <v>109</v>
      </c>
      <c r="B76" s="2" t="s">
        <v>110</v>
      </c>
      <c r="C76" s="22" t="s">
        <v>38</v>
      </c>
      <c r="D76" s="22" t="s">
        <v>19</v>
      </c>
    </row>
    <row r="77" spans="1:4">
      <c r="A77" s="21" t="s">
        <v>42</v>
      </c>
      <c r="B77" t="s">
        <v>111</v>
      </c>
      <c r="C77" s="38">
        <f>((1/12)*2%)</f>
        <v>1.6666666666666666E-3</v>
      </c>
      <c r="D77" s="82">
        <f>TRUNC(($D$31*C77),2)</f>
        <v>3.5</v>
      </c>
    </row>
    <row r="78" spans="1:4">
      <c r="A78" s="21" t="s">
        <v>45</v>
      </c>
      <c r="B78" t="s">
        <v>112</v>
      </c>
      <c r="C78" s="43">
        <v>0.08</v>
      </c>
      <c r="D78" s="78">
        <f>TRUNC(($D$77*C78),2)</f>
        <v>0.28000000000000003</v>
      </c>
    </row>
    <row r="79" spans="1:4" ht="30">
      <c r="A79" s="21" t="s">
        <v>48</v>
      </c>
      <c r="B79" s="44" t="s">
        <v>113</v>
      </c>
      <c r="C79" s="45">
        <f>(0.08*0.4*0.02)</f>
        <v>6.4000000000000005E-4</v>
      </c>
      <c r="D79" s="83">
        <f>TRUNC(($D$31*C79),2)</f>
        <v>1.34</v>
      </c>
    </row>
    <row r="80" spans="1:4">
      <c r="A80" s="21" t="s">
        <v>50</v>
      </c>
      <c r="B80" t="s">
        <v>114</v>
      </c>
      <c r="C80" s="43">
        <f>(((7/30)/12)*0.98)</f>
        <v>1.9055555555555555E-2</v>
      </c>
      <c r="D80" s="78">
        <f>TRUNC(($D$31*C80),2)</f>
        <v>40.119999999999997</v>
      </c>
    </row>
    <row r="81" spans="1:4" ht="30">
      <c r="A81" s="21" t="s">
        <v>53</v>
      </c>
      <c r="B81" s="44" t="s">
        <v>210</v>
      </c>
      <c r="C81" s="45">
        <f>C55</f>
        <v>0.36800000000000005</v>
      </c>
      <c r="D81" s="82">
        <f>TRUNC(($D$80*C81),2)</f>
        <v>14.76</v>
      </c>
    </row>
    <row r="82" spans="1:4" ht="30">
      <c r="A82" s="21" t="s">
        <v>55</v>
      </c>
      <c r="B82" s="44" t="s">
        <v>115</v>
      </c>
      <c r="C82" s="45">
        <f>(0.08*0.4*0.98)</f>
        <v>3.1359999999999999E-2</v>
      </c>
      <c r="D82" s="82">
        <f>TRUNC(($D$31*C82),2)</f>
        <v>66.03</v>
      </c>
    </row>
    <row r="83" spans="1:4">
      <c r="A83" s="21" t="s">
        <v>58</v>
      </c>
      <c r="C83" s="43">
        <f>SUM(C77:C82)</f>
        <v>0.50072222222222229</v>
      </c>
      <c r="D83" s="28">
        <f>TRUNC((SUM(D77:D82)),2)</f>
        <v>126.03</v>
      </c>
    </row>
    <row r="84" spans="1:4">
      <c r="A84" s="21"/>
      <c r="D84" s="28"/>
    </row>
    <row r="85" spans="1:4">
      <c r="A85" s="192" t="s">
        <v>211</v>
      </c>
      <c r="B85" s="192"/>
      <c r="C85" s="33" t="s">
        <v>202</v>
      </c>
      <c r="D85" s="34">
        <f>D31</f>
        <v>2105.58</v>
      </c>
    </row>
    <row r="86" spans="1:4">
      <c r="A86" s="192"/>
      <c r="B86" s="192"/>
      <c r="C86" s="35" t="s">
        <v>212</v>
      </c>
      <c r="D86" s="34">
        <f>D73</f>
        <v>1767.87</v>
      </c>
    </row>
    <row r="87" spans="1:4">
      <c r="A87" s="192"/>
      <c r="B87" s="192"/>
      <c r="C87" s="33" t="s">
        <v>213</v>
      </c>
      <c r="D87" s="34">
        <f>D83</f>
        <v>126.03</v>
      </c>
    </row>
    <row r="88" spans="1:4">
      <c r="A88" s="192"/>
      <c r="B88" s="192"/>
      <c r="C88" s="35" t="s">
        <v>204</v>
      </c>
      <c r="D88" s="36">
        <f>TRUNC((SUM(D85:D87)),2)</f>
        <v>3999.48</v>
      </c>
    </row>
    <row r="89" spans="1:4">
      <c r="A89" s="21"/>
      <c r="D89" s="28"/>
    </row>
    <row r="90" spans="1:4">
      <c r="A90" s="198" t="s">
        <v>127</v>
      </c>
      <c r="B90" s="185"/>
      <c r="C90" s="185"/>
      <c r="D90" s="185"/>
    </row>
    <row r="91" spans="1:4">
      <c r="A91" s="184" t="s">
        <v>128</v>
      </c>
      <c r="B91" s="186"/>
      <c r="C91" s="186"/>
      <c r="D91" s="186"/>
    </row>
    <row r="92" spans="1:4">
      <c r="A92" s="21" t="s">
        <v>129</v>
      </c>
      <c r="B92" s="2" t="s">
        <v>130</v>
      </c>
      <c r="C92" s="22" t="s">
        <v>38</v>
      </c>
      <c r="D92" s="22" t="s">
        <v>19</v>
      </c>
    </row>
    <row r="93" spans="1:4">
      <c r="A93" s="21" t="s">
        <v>42</v>
      </c>
      <c r="B93" t="s">
        <v>132</v>
      </c>
      <c r="C93" s="43">
        <f>(((1+1/3)/12)/12)+((1/12)/12)</f>
        <v>1.6203703703703703E-2</v>
      </c>
      <c r="D93" s="28">
        <f t="shared" ref="D93:D97" si="1">TRUNC(($D$88*C93),2)</f>
        <v>64.8</v>
      </c>
    </row>
    <row r="94" spans="1:4">
      <c r="A94" s="21" t="s">
        <v>45</v>
      </c>
      <c r="B94" t="s">
        <v>133</v>
      </c>
      <c r="C94" s="38">
        <f>((5/30)/12)</f>
        <v>1.3888888888888888E-2</v>
      </c>
      <c r="D94" s="41">
        <f t="shared" si="1"/>
        <v>55.54</v>
      </c>
    </row>
    <row r="95" spans="1:4">
      <c r="A95" s="21" t="s">
        <v>48</v>
      </c>
      <c r="B95" t="s">
        <v>134</v>
      </c>
      <c r="C95" s="38">
        <f>((5/30)/12)*0.02</f>
        <v>2.7777777777777778E-4</v>
      </c>
      <c r="D95" s="41">
        <f t="shared" si="1"/>
        <v>1.1100000000000001</v>
      </c>
    </row>
    <row r="96" spans="1:4" ht="30">
      <c r="A96" s="21" t="s">
        <v>50</v>
      </c>
      <c r="B96" s="44" t="s">
        <v>135</v>
      </c>
      <c r="C96" s="45">
        <f>((15/30)/12)*0.08</f>
        <v>3.3333333333333331E-3</v>
      </c>
      <c r="D96" s="41">
        <f t="shared" si="1"/>
        <v>13.33</v>
      </c>
    </row>
    <row r="97" spans="1:4">
      <c r="A97" s="21" t="s">
        <v>53</v>
      </c>
      <c r="B97" t="s">
        <v>136</v>
      </c>
      <c r="C97" s="38">
        <f>((1+1/3)/12)*0.00001*((4/12))</f>
        <v>3.7037037037037031E-7</v>
      </c>
      <c r="D97" s="41">
        <f t="shared" si="1"/>
        <v>0</v>
      </c>
    </row>
    <row r="98" spans="1:4">
      <c r="A98" s="21" t="s">
        <v>55</v>
      </c>
      <c r="B98" s="44" t="s">
        <v>214</v>
      </c>
      <c r="C98" s="46">
        <v>0</v>
      </c>
      <c r="D98" s="41">
        <f>TRUNC($D$88*C98)</f>
        <v>0</v>
      </c>
    </row>
    <row r="99" spans="1:4">
      <c r="A99" s="21" t="s">
        <v>58</v>
      </c>
      <c r="C99" s="43">
        <f>SUBTOTAL(109,Submódulo4.159_41[Percentual])</f>
        <v>3.3704074074074074E-2</v>
      </c>
      <c r="D99" s="28">
        <f>TRUNC((SUM(D93:D98)),2)</f>
        <v>134.78</v>
      </c>
    </row>
    <row r="100" spans="1:4">
      <c r="A100" s="21"/>
      <c r="C100" s="22"/>
      <c r="D100" s="28"/>
    </row>
    <row r="101" spans="1:4">
      <c r="A101" s="184" t="s">
        <v>144</v>
      </c>
      <c r="B101" s="186"/>
      <c r="C101" s="186"/>
      <c r="D101" s="186"/>
    </row>
    <row r="102" spans="1:4">
      <c r="A102" s="21" t="s">
        <v>145</v>
      </c>
      <c r="B102" s="2" t="s">
        <v>146</v>
      </c>
      <c r="C102" s="22" t="s">
        <v>18</v>
      </c>
      <c r="D102" s="22" t="s">
        <v>19</v>
      </c>
    </row>
    <row r="103" spans="1:4" ht="75">
      <c r="A103" s="21" t="s">
        <v>42</v>
      </c>
      <c r="B103" s="47" t="s">
        <v>147</v>
      </c>
      <c r="C103" s="48" t="s">
        <v>215</v>
      </c>
      <c r="D103" s="84" t="s">
        <v>216</v>
      </c>
    </row>
    <row r="104" spans="1:4">
      <c r="A104" s="21" t="s">
        <v>58</v>
      </c>
      <c r="C104" s="50"/>
      <c r="D104" s="85" t="str">
        <f>D103</f>
        <v>*=TRUNCAR(($D$86/220)*(1*(365/12))/2)</v>
      </c>
    </row>
    <row r="106" spans="1:4">
      <c r="A106" s="184" t="s">
        <v>148</v>
      </c>
      <c r="B106" s="186"/>
      <c r="C106" s="186"/>
      <c r="D106" s="186"/>
    </row>
    <row r="107" spans="1:4">
      <c r="A107" s="21" t="s">
        <v>149</v>
      </c>
      <c r="B107" s="2" t="s">
        <v>150</v>
      </c>
      <c r="C107" s="22" t="s">
        <v>18</v>
      </c>
      <c r="D107" s="22" t="s">
        <v>19</v>
      </c>
    </row>
    <row r="108" spans="1:4">
      <c r="A108" s="21" t="s">
        <v>129</v>
      </c>
      <c r="B108" t="s">
        <v>130</v>
      </c>
      <c r="D108" s="24">
        <f>D99</f>
        <v>134.78</v>
      </c>
    </row>
    <row r="109" spans="1:4">
      <c r="A109" s="21" t="s">
        <v>145</v>
      </c>
      <c r="B109" t="s">
        <v>151</v>
      </c>
      <c r="C109" s="2"/>
      <c r="D109" s="52" t="str">
        <f>Submódulo4.260_42[[#Totals],[Valor]]</f>
        <v>*=TRUNCAR(($D$86/220)*(1*(365/12))/2)</v>
      </c>
    </row>
    <row r="110" spans="1:4" ht="45">
      <c r="A110" s="21" t="s">
        <v>58</v>
      </c>
      <c r="B110" s="40"/>
      <c r="C110" s="48" t="s">
        <v>217</v>
      </c>
      <c r="D110" s="53">
        <f>TRUNC((SUM(D108:D109)),2)</f>
        <v>134.78</v>
      </c>
    </row>
    <row r="112" spans="1:4">
      <c r="A112" s="190" t="s">
        <v>152</v>
      </c>
      <c r="B112" s="183"/>
      <c r="C112" s="183"/>
      <c r="D112" s="183"/>
    </row>
    <row r="113" spans="1:11" ht="30">
      <c r="A113" s="21" t="s">
        <v>153</v>
      </c>
      <c r="B113" s="2" t="s">
        <v>154</v>
      </c>
      <c r="C113" s="22" t="s">
        <v>18</v>
      </c>
      <c r="D113" s="22" t="s">
        <v>19</v>
      </c>
      <c r="H113" s="54" t="s">
        <v>218</v>
      </c>
      <c r="I113" s="55" t="s">
        <v>219</v>
      </c>
      <c r="J113" s="55" t="s">
        <v>220</v>
      </c>
      <c r="K113" s="55" t="s">
        <v>221</v>
      </c>
    </row>
    <row r="114" spans="1:11">
      <c r="A114" s="21" t="s">
        <v>42</v>
      </c>
      <c r="B114" t="s">
        <v>222</v>
      </c>
      <c r="D114" s="56">
        <f>F114</f>
        <v>0</v>
      </c>
      <c r="F114" cm="1">
        <f t="array" ref="F114:G114">'Uniformes e EPI'!G32:H32</f>
        <v>0</v>
      </c>
      <c r="G114">
        <v>0</v>
      </c>
      <c r="H114" s="57" t="s">
        <v>223</v>
      </c>
      <c r="I114" s="58">
        <v>0</v>
      </c>
      <c r="J114" s="59">
        <v>70</v>
      </c>
      <c r="K114" s="59">
        <f>TRUNC(J114*I114,2)</f>
        <v>0</v>
      </c>
    </row>
    <row r="115" spans="1:11">
      <c r="A115" s="21" t="s">
        <v>45</v>
      </c>
      <c r="B115" t="s">
        <v>224</v>
      </c>
      <c r="D115" s="56">
        <v>0</v>
      </c>
      <c r="H115" s="60" t="s">
        <v>225</v>
      </c>
      <c r="I115" s="61">
        <v>0</v>
      </c>
      <c r="J115" s="62">
        <v>35</v>
      </c>
      <c r="K115" s="59">
        <f>TRUNC(J115*I115,2)</f>
        <v>0</v>
      </c>
    </row>
    <row r="116" spans="1:11">
      <c r="A116" s="21" t="s">
        <v>48</v>
      </c>
      <c r="B116" t="s">
        <v>156</v>
      </c>
      <c r="D116" s="56">
        <v>0</v>
      </c>
      <c r="H116" s="194" t="s">
        <v>204</v>
      </c>
      <c r="I116" s="195"/>
      <c r="J116" s="196">
        <f>TRUNC(SUM(K114:K115),2)</f>
        <v>0</v>
      </c>
      <c r="K116" s="197"/>
    </row>
    <row r="117" spans="1:11">
      <c r="A117" s="21" t="s">
        <v>50</v>
      </c>
      <c r="B117" t="s">
        <v>157</v>
      </c>
      <c r="D117" s="56">
        <v>0</v>
      </c>
      <c r="H117" s="194" t="s">
        <v>226</v>
      </c>
      <c r="I117" s="195"/>
      <c r="J117" s="196">
        <f>TRUNC(J116/12,2)</f>
        <v>0</v>
      </c>
      <c r="K117" s="197"/>
    </row>
    <row r="118" spans="1:11">
      <c r="A118" s="21" t="s">
        <v>53</v>
      </c>
      <c r="B118" t="s">
        <v>227</v>
      </c>
      <c r="D118" s="56">
        <f>J117</f>
        <v>0</v>
      </c>
      <c r="H118" s="193" t="s">
        <v>228</v>
      </c>
      <c r="I118" s="193"/>
      <c r="J118" s="193"/>
      <c r="K118" s="193"/>
    </row>
    <row r="119" spans="1:11">
      <c r="A119" s="21" t="s">
        <v>58</v>
      </c>
      <c r="D119" s="63">
        <f>TRUNC(SUM(D114:D118),2)</f>
        <v>0</v>
      </c>
      <c r="H119" s="193"/>
      <c r="I119" s="193"/>
      <c r="J119" s="193"/>
      <c r="K119" s="193"/>
    </row>
    <row r="121" spans="1:11">
      <c r="A121" s="192" t="s">
        <v>229</v>
      </c>
      <c r="B121" s="192"/>
      <c r="C121" s="33" t="s">
        <v>202</v>
      </c>
      <c r="D121" s="34">
        <f>D31</f>
        <v>2105.58</v>
      </c>
    </row>
    <row r="122" spans="1:11">
      <c r="A122" s="192"/>
      <c r="B122" s="192"/>
      <c r="C122" s="35" t="s">
        <v>212</v>
      </c>
      <c r="D122" s="34">
        <f>D73</f>
        <v>1767.87</v>
      </c>
    </row>
    <row r="123" spans="1:11">
      <c r="A123" s="192"/>
      <c r="B123" s="192"/>
      <c r="C123" s="33" t="s">
        <v>213</v>
      </c>
      <c r="D123" s="34">
        <f>D83</f>
        <v>126.03</v>
      </c>
    </row>
    <row r="124" spans="1:11">
      <c r="A124" s="192"/>
      <c r="B124" s="192"/>
      <c r="C124" s="35" t="s">
        <v>230</v>
      </c>
      <c r="D124" s="34">
        <f>D110</f>
        <v>134.78</v>
      </c>
    </row>
    <row r="125" spans="1:11">
      <c r="A125" s="192"/>
      <c r="B125" s="192"/>
      <c r="C125" s="33" t="s">
        <v>231</v>
      </c>
      <c r="D125" s="34">
        <f>D119</f>
        <v>0</v>
      </c>
    </row>
    <row r="126" spans="1:11">
      <c r="A126" s="192"/>
      <c r="B126" s="192"/>
      <c r="C126" s="35" t="s">
        <v>204</v>
      </c>
      <c r="D126" s="36">
        <f>TRUNC((SUM(D121:D125)),2)</f>
        <v>4134.26</v>
      </c>
    </row>
    <row r="128" spans="1:11">
      <c r="A128" s="190" t="s">
        <v>164</v>
      </c>
      <c r="B128" s="183"/>
      <c r="C128" s="183"/>
      <c r="D128" s="183"/>
    </row>
    <row r="129" spans="1:9">
      <c r="A129" s="21" t="s">
        <v>165</v>
      </c>
      <c r="B129" t="s">
        <v>166</v>
      </c>
      <c r="C129" s="22" t="s">
        <v>38</v>
      </c>
      <c r="D129" s="22" t="s">
        <v>19</v>
      </c>
      <c r="H129" s="191" t="s">
        <v>232</v>
      </c>
      <c r="I129" s="191"/>
    </row>
    <row r="130" spans="1:9">
      <c r="A130" s="21" t="s">
        <v>42</v>
      </c>
      <c r="B130" t="s">
        <v>167</v>
      </c>
      <c r="C130" s="38">
        <v>0</v>
      </c>
      <c r="D130" s="24">
        <f>TRUNC(($D$126*C130),2)</f>
        <v>0</v>
      </c>
      <c r="H130" s="57" t="s">
        <v>233</v>
      </c>
      <c r="I130" s="45">
        <f>C132</f>
        <v>8.6499999999999994E-2</v>
      </c>
    </row>
    <row r="131" spans="1:9">
      <c r="A131" s="21" t="s">
        <v>45</v>
      </c>
      <c r="B131" t="s">
        <v>59</v>
      </c>
      <c r="C131" s="38">
        <v>0</v>
      </c>
      <c r="D131" s="24">
        <f>TRUNC((C131*(D126+D130)),2)</f>
        <v>0</v>
      </c>
      <c r="H131" s="64" t="s">
        <v>234</v>
      </c>
      <c r="I131" s="86">
        <f>TRUNC(SUM(D126,D130,D131),2)</f>
        <v>4134.26</v>
      </c>
    </row>
    <row r="132" spans="1:9">
      <c r="A132" s="21" t="s">
        <v>48</v>
      </c>
      <c r="B132" t="s">
        <v>168</v>
      </c>
      <c r="C132" s="38">
        <f>SUM(C133:C135)</f>
        <v>8.6499999999999994E-2</v>
      </c>
      <c r="D132" s="24">
        <f>TRUNC((SUM(D133:D135)),2)</f>
        <v>391.46</v>
      </c>
      <c r="H132" s="57" t="s">
        <v>235</v>
      </c>
      <c r="I132" s="66">
        <f>(100-8.65)/100</f>
        <v>0.91349999999999998</v>
      </c>
    </row>
    <row r="133" spans="1:9">
      <c r="A133" s="21"/>
      <c r="B133" t="s">
        <v>236</v>
      </c>
      <c r="C133" s="38">
        <v>6.4999999999999997E-3</v>
      </c>
      <c r="D133" s="24">
        <f t="shared" ref="D133:D135" si="2">TRUNC(($I$133*C133),2)</f>
        <v>29.41</v>
      </c>
      <c r="H133" s="64" t="s">
        <v>232</v>
      </c>
      <c r="I133" s="86">
        <f>TRUNC((I131/I132),2)</f>
        <v>4525.7299999999996</v>
      </c>
    </row>
    <row r="134" spans="1:9">
      <c r="A134" s="21"/>
      <c r="B134" t="s">
        <v>237</v>
      </c>
      <c r="C134" s="38">
        <v>0.03</v>
      </c>
      <c r="D134" s="24">
        <f t="shared" si="2"/>
        <v>135.77000000000001</v>
      </c>
    </row>
    <row r="135" spans="1:9">
      <c r="A135" s="21"/>
      <c r="B135" t="s">
        <v>238</v>
      </c>
      <c r="C135" s="38">
        <v>0.05</v>
      </c>
      <c r="D135" s="24">
        <f t="shared" si="2"/>
        <v>226.28</v>
      </c>
    </row>
    <row r="136" spans="1:9">
      <c r="A136" s="21" t="s">
        <v>58</v>
      </c>
      <c r="C136" s="67"/>
      <c r="D136" s="28">
        <f>TRUNC(SUM(D130:D132),2)</f>
        <v>391.46</v>
      </c>
    </row>
    <row r="137" spans="1:9">
      <c r="A137" s="21"/>
      <c r="C137" s="67"/>
      <c r="D137" s="28"/>
    </row>
    <row r="139" spans="1:9">
      <c r="A139" s="190" t="s">
        <v>172</v>
      </c>
      <c r="B139" s="183"/>
      <c r="C139" s="183"/>
      <c r="D139" s="183"/>
    </row>
    <row r="140" spans="1:9">
      <c r="A140" s="21" t="s">
        <v>16</v>
      </c>
      <c r="B140" s="22" t="s">
        <v>173</v>
      </c>
      <c r="C140" s="22" t="s">
        <v>102</v>
      </c>
      <c r="D140" s="22" t="s">
        <v>19</v>
      </c>
    </row>
    <row r="141" spans="1:9">
      <c r="A141" s="21" t="s">
        <v>42</v>
      </c>
      <c r="B141" t="s">
        <v>36</v>
      </c>
      <c r="D141" s="28">
        <f>D31</f>
        <v>2105.58</v>
      </c>
    </row>
    <row r="142" spans="1:9">
      <c r="A142" s="21" t="s">
        <v>45</v>
      </c>
      <c r="B142" t="s">
        <v>61</v>
      </c>
      <c r="D142" s="28">
        <f>D73</f>
        <v>1767.87</v>
      </c>
    </row>
    <row r="143" spans="1:9">
      <c r="A143" s="21" t="s">
        <v>48</v>
      </c>
      <c r="B143" t="s">
        <v>108</v>
      </c>
      <c r="D143" s="28">
        <f>D83</f>
        <v>126.03</v>
      </c>
    </row>
    <row r="144" spans="1:9">
      <c r="A144" s="21" t="s">
        <v>50</v>
      </c>
      <c r="B144" t="s">
        <v>174</v>
      </c>
      <c r="D144" s="28">
        <f>D110</f>
        <v>134.78</v>
      </c>
    </row>
    <row r="145" spans="1:4">
      <c r="A145" s="21" t="s">
        <v>53</v>
      </c>
      <c r="B145" t="s">
        <v>152</v>
      </c>
      <c r="D145" s="28">
        <f>D119</f>
        <v>0</v>
      </c>
    </row>
    <row r="146" spans="1:4">
      <c r="B146" s="68" t="s">
        <v>239</v>
      </c>
      <c r="D146" s="28">
        <f>TRUNC(SUM(D141:D145),2)</f>
        <v>4134.26</v>
      </c>
    </row>
    <row r="147" spans="1:4">
      <c r="A147" s="21" t="s">
        <v>55</v>
      </c>
      <c r="B147" t="s">
        <v>164</v>
      </c>
      <c r="D147" s="28">
        <f>D136</f>
        <v>391.46</v>
      </c>
    </row>
    <row r="148" spans="1:4">
      <c r="A148" s="87"/>
      <c r="B148" s="70" t="s">
        <v>240</v>
      </c>
      <c r="C148" s="71"/>
      <c r="D148" s="72">
        <f>TRUNC((SUM(D141:D145)+D147),2)</f>
        <v>4525.72</v>
      </c>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A91:D91"/>
    <mergeCell ref="A101:D101"/>
    <mergeCell ref="H31:I31"/>
    <mergeCell ref="A33:D33"/>
    <mergeCell ref="A35:D35"/>
    <mergeCell ref="A45:D45"/>
    <mergeCell ref="A57:D57"/>
    <mergeCell ref="A128:D128"/>
    <mergeCell ref="H129:I129"/>
    <mergeCell ref="A139:D139"/>
    <mergeCell ref="A41:B43"/>
    <mergeCell ref="A85:B88"/>
    <mergeCell ref="A121:B126"/>
    <mergeCell ref="H118:K119"/>
    <mergeCell ref="A106:D106"/>
    <mergeCell ref="A112:D112"/>
    <mergeCell ref="H116:I116"/>
    <mergeCell ref="J116:K116"/>
    <mergeCell ref="H117:I117"/>
    <mergeCell ref="J117:K117"/>
    <mergeCell ref="A68:D68"/>
    <mergeCell ref="A75:D75"/>
    <mergeCell ref="A90:D90"/>
  </mergeCells>
  <pageMargins left="0.25" right="0.25" top="0.75" bottom="0.75" header="0.3" footer="0.3"/>
  <pageSetup paperSize="9" scale="71" fitToHeight="0" orientation="portrait"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K148"/>
  <sheetViews>
    <sheetView workbookViewId="0">
      <selection activeCell="I5" sqref="I5"/>
    </sheetView>
  </sheetViews>
  <sheetFormatPr defaultColWidth="9.140625" defaultRowHeight="15"/>
  <cols>
    <col min="1" max="1" width="12.42578125" style="4" customWidth="1"/>
    <col min="2" max="2" width="50.28515625" customWidth="1"/>
    <col min="3" max="3" width="30.85546875" customWidth="1"/>
    <col min="4" max="4" width="37.42578125" customWidth="1"/>
    <col min="6" max="7" width="0" hidden="1" customWidth="1"/>
    <col min="8" max="8" width="22.85546875" customWidth="1"/>
    <col min="9" max="9" width="13.42578125" customWidth="1"/>
    <col min="10" max="10" width="11" customWidth="1"/>
    <col min="11" max="11" width="11.42578125" customWidth="1"/>
  </cols>
  <sheetData>
    <row r="2" spans="1:9" ht="18.75">
      <c r="A2" s="208" t="s">
        <v>177</v>
      </c>
      <c r="B2" s="209"/>
      <c r="C2" s="209"/>
      <c r="D2" s="209"/>
    </row>
    <row r="3" spans="1:9">
      <c r="A3" s="214" t="str">
        <f>Pedreiro!A3</f>
        <v>Processo Administrativo n.° 23324.000132.2023-89</v>
      </c>
      <c r="B3" s="215"/>
      <c r="C3" s="215"/>
      <c r="D3" s="215"/>
    </row>
    <row r="4" spans="1:9">
      <c r="A4" s="77" t="s">
        <v>178</v>
      </c>
      <c r="B4" s="6" t="s">
        <v>419</v>
      </c>
      <c r="C4" s="7"/>
      <c r="D4" s="7"/>
    </row>
    <row r="5" spans="1:9">
      <c r="A5" s="8"/>
      <c r="B5" s="9"/>
      <c r="C5" s="9"/>
      <c r="D5" s="9"/>
    </row>
    <row r="6" spans="1:9">
      <c r="A6" s="190" t="s">
        <v>179</v>
      </c>
      <c r="B6" s="183"/>
      <c r="C6" s="183"/>
      <c r="D6" s="183"/>
    </row>
    <row r="7" spans="1:9">
      <c r="A7" s="10" t="s">
        <v>42</v>
      </c>
      <c r="B7" s="11" t="s">
        <v>180</v>
      </c>
      <c r="C7" s="212" t="s">
        <v>302</v>
      </c>
      <c r="D7" s="213"/>
    </row>
    <row r="8" spans="1:9">
      <c r="A8" s="12" t="s">
        <v>45</v>
      </c>
      <c r="B8" s="13" t="s">
        <v>181</v>
      </c>
      <c r="C8" s="203" t="s">
        <v>182</v>
      </c>
      <c r="D8" s="203"/>
    </row>
    <row r="9" spans="1:9">
      <c r="A9" s="15" t="s">
        <v>48</v>
      </c>
      <c r="B9" s="16" t="s">
        <v>183</v>
      </c>
      <c r="C9" s="203" t="s">
        <v>184</v>
      </c>
      <c r="D9" s="203"/>
    </row>
    <row r="10" spans="1:9">
      <c r="A10" s="12" t="s">
        <v>53</v>
      </c>
      <c r="B10" s="13" t="s">
        <v>185</v>
      </c>
      <c r="C10" s="203" t="s">
        <v>186</v>
      </c>
      <c r="D10" s="203"/>
    </row>
    <row r="11" spans="1:9">
      <c r="A11" s="201" t="s">
        <v>187</v>
      </c>
      <c r="B11" s="202"/>
      <c r="C11" s="202"/>
      <c r="D11" s="202"/>
    </row>
    <row r="12" spans="1:9">
      <c r="A12" s="204" t="s">
        <v>188</v>
      </c>
      <c r="B12" s="205"/>
      <c r="C12" s="17" t="s">
        <v>189</v>
      </c>
      <c r="D12" s="18" t="s">
        <v>190</v>
      </c>
    </row>
    <row r="13" spans="1:9">
      <c r="A13" s="206" t="s">
        <v>244</v>
      </c>
      <c r="B13" s="207"/>
      <c r="C13" s="14" t="s">
        <v>192</v>
      </c>
      <c r="D13" s="19">
        <f>RESUMO!D5</f>
        <v>1</v>
      </c>
    </row>
    <row r="14" spans="1:9">
      <c r="A14" s="199"/>
      <c r="B14" s="200"/>
      <c r="C14" s="14"/>
      <c r="D14" s="20"/>
    </row>
    <row r="15" spans="1:9">
      <c r="A15" s="201" t="s">
        <v>14</v>
      </c>
      <c r="B15" s="202"/>
      <c r="C15" s="202"/>
      <c r="D15" s="202"/>
      <c r="H15" s="186"/>
      <c r="I15" s="186"/>
    </row>
    <row r="16" spans="1:9">
      <c r="A16" s="21" t="s">
        <v>16</v>
      </c>
      <c r="B16" t="s">
        <v>17</v>
      </c>
      <c r="C16" s="22" t="s">
        <v>18</v>
      </c>
      <c r="D16" s="22" t="s">
        <v>19</v>
      </c>
    </row>
    <row r="17" spans="1:9">
      <c r="A17" s="21">
        <v>1</v>
      </c>
      <c r="B17" t="s">
        <v>20</v>
      </c>
      <c r="C17" s="23" t="s">
        <v>102</v>
      </c>
      <c r="D17" s="23" t="str">
        <f>A13</f>
        <v>Pintor</v>
      </c>
    </row>
    <row r="18" spans="1:9">
      <c r="A18" s="21">
        <v>2</v>
      </c>
      <c r="B18" t="s">
        <v>23</v>
      </c>
      <c r="C18" s="23" t="s">
        <v>193</v>
      </c>
      <c r="D18" s="23" t="s">
        <v>245</v>
      </c>
    </row>
    <row r="19" spans="1:9">
      <c r="A19" s="21">
        <v>3</v>
      </c>
      <c r="B19" t="s">
        <v>26</v>
      </c>
      <c r="C19" s="23" t="str">
        <f>C9</f>
        <v>CCT PB000517/2021</v>
      </c>
      <c r="D19" s="24">
        <v>1619.68</v>
      </c>
    </row>
    <row r="20" spans="1:9">
      <c r="A20" s="21">
        <v>4</v>
      </c>
      <c r="B20" t="s">
        <v>29</v>
      </c>
      <c r="C20" s="23" t="str">
        <f>C9</f>
        <v>CCT PB000517/2021</v>
      </c>
      <c r="D20" s="25" t="s">
        <v>195</v>
      </c>
    </row>
    <row r="21" spans="1:9">
      <c r="A21" s="21">
        <v>5</v>
      </c>
      <c r="B21" t="s">
        <v>33</v>
      </c>
      <c r="C21" s="23" t="str">
        <f>C9</f>
        <v>CCT PB000517/2021</v>
      </c>
      <c r="D21" s="26" t="s">
        <v>196</v>
      </c>
    </row>
    <row r="22" spans="1:9">
      <c r="H22" s="186"/>
      <c r="I22" s="186"/>
    </row>
    <row r="23" spans="1:9">
      <c r="A23" s="190" t="s">
        <v>36</v>
      </c>
      <c r="B23" s="183"/>
      <c r="C23" s="183"/>
      <c r="D23" s="183"/>
    </row>
    <row r="24" spans="1:9">
      <c r="A24" s="21" t="s">
        <v>39</v>
      </c>
      <c r="B24" s="2" t="s">
        <v>40</v>
      </c>
      <c r="C24" s="22" t="s">
        <v>18</v>
      </c>
      <c r="D24" s="22" t="s">
        <v>19</v>
      </c>
      <c r="I24" s="27"/>
    </row>
    <row r="25" spans="1:9">
      <c r="A25" s="21" t="s">
        <v>42</v>
      </c>
      <c r="B25" t="s">
        <v>43</v>
      </c>
      <c r="C25" s="25" t="s">
        <v>197</v>
      </c>
      <c r="D25" s="24">
        <f>D19</f>
        <v>1619.68</v>
      </c>
      <c r="I25" s="27"/>
    </row>
    <row r="26" spans="1:9">
      <c r="A26" s="21" t="s">
        <v>45</v>
      </c>
      <c r="B26" t="s">
        <v>198</v>
      </c>
      <c r="C26" s="25"/>
      <c r="D26" s="24">
        <v>0</v>
      </c>
      <c r="I26" s="27"/>
    </row>
    <row r="27" spans="1:9">
      <c r="A27" s="21" t="s">
        <v>48</v>
      </c>
      <c r="B27" t="s">
        <v>199</v>
      </c>
      <c r="C27" s="25"/>
      <c r="D27" s="24">
        <v>0</v>
      </c>
    </row>
    <row r="28" spans="1:9">
      <c r="A28" s="21" t="s">
        <v>50</v>
      </c>
      <c r="B28" t="s">
        <v>51</v>
      </c>
      <c r="C28" s="25"/>
      <c r="D28" s="24">
        <v>0</v>
      </c>
    </row>
    <row r="29" spans="1:9">
      <c r="A29" s="21" t="s">
        <v>53</v>
      </c>
      <c r="B29" t="s">
        <v>54</v>
      </c>
      <c r="C29" s="25"/>
      <c r="D29" s="24">
        <v>0</v>
      </c>
    </row>
    <row r="30" spans="1:9">
      <c r="A30" s="21" t="s">
        <v>55</v>
      </c>
      <c r="B30" t="s">
        <v>56</v>
      </c>
      <c r="C30" s="25"/>
      <c r="D30" s="24">
        <v>0</v>
      </c>
    </row>
    <row r="31" spans="1:9">
      <c r="A31" s="21" t="s">
        <v>58</v>
      </c>
      <c r="C31" s="22"/>
      <c r="D31" s="28">
        <f>TRUNC((SUM(D25:D30)),2)</f>
        <v>1619.68</v>
      </c>
      <c r="H31" s="186"/>
      <c r="I31" s="186"/>
    </row>
    <row r="32" spans="1:9">
      <c r="B32" s="29" t="s">
        <v>200</v>
      </c>
    </row>
    <row r="33" spans="1:9">
      <c r="A33" s="192" t="s">
        <v>61</v>
      </c>
      <c r="B33" s="187"/>
      <c r="C33" s="187"/>
      <c r="D33" s="187"/>
      <c r="I33" s="27"/>
    </row>
    <row r="35" spans="1:9">
      <c r="A35" s="184" t="s">
        <v>63</v>
      </c>
      <c r="B35" s="186"/>
      <c r="C35" s="186"/>
      <c r="D35" s="186"/>
    </row>
    <row r="36" spans="1:9">
      <c r="A36" s="21" t="s">
        <v>65</v>
      </c>
      <c r="B36" s="2" t="s">
        <v>66</v>
      </c>
      <c r="C36" s="22" t="s">
        <v>38</v>
      </c>
      <c r="D36" s="22" t="s">
        <v>19</v>
      </c>
    </row>
    <row r="37" spans="1:9">
      <c r="A37" s="21" t="s">
        <v>42</v>
      </c>
      <c r="B37" t="s">
        <v>67</v>
      </c>
      <c r="C37" s="31">
        <f>(1/12)</f>
        <v>8.3333333333333329E-2</v>
      </c>
      <c r="D37" s="28">
        <f>TRUNC($D$31*C37,2)</f>
        <v>134.97</v>
      </c>
      <c r="H37" s="32"/>
      <c r="I37" s="32"/>
    </row>
    <row r="38" spans="1:9">
      <c r="A38" s="21" t="s">
        <v>45</v>
      </c>
      <c r="B38" t="s">
        <v>68</v>
      </c>
      <c r="C38" s="31">
        <f>(((1+1/3)/12))</f>
        <v>0.1111111111111111</v>
      </c>
      <c r="D38" s="28">
        <f>TRUNC($D$31*C38,2)</f>
        <v>179.96</v>
      </c>
      <c r="H38" s="32"/>
      <c r="I38" s="32"/>
    </row>
    <row r="39" spans="1:9">
      <c r="A39" s="21" t="s">
        <v>58</v>
      </c>
      <c r="D39" s="28">
        <f>TRUNC((SUM(D37:D38)),2)</f>
        <v>314.93</v>
      </c>
      <c r="H39" s="32"/>
      <c r="I39" s="32"/>
    </row>
    <row r="40" spans="1:9">
      <c r="D40" s="28"/>
      <c r="H40" s="32"/>
      <c r="I40" s="32"/>
    </row>
    <row r="41" spans="1:9">
      <c r="A41" s="192" t="s">
        <v>201</v>
      </c>
      <c r="B41" s="192"/>
      <c r="C41" s="33" t="s">
        <v>202</v>
      </c>
      <c r="D41" s="34">
        <f>D31</f>
        <v>1619.68</v>
      </c>
      <c r="H41" s="32"/>
      <c r="I41" s="32"/>
    </row>
    <row r="42" spans="1:9">
      <c r="A42" s="192"/>
      <c r="B42" s="192"/>
      <c r="C42" s="35" t="s">
        <v>203</v>
      </c>
      <c r="D42" s="34">
        <f>D39</f>
        <v>314.93</v>
      </c>
      <c r="H42" s="32"/>
      <c r="I42" s="32"/>
    </row>
    <row r="43" spans="1:9">
      <c r="A43" s="192"/>
      <c r="B43" s="192"/>
      <c r="C43" s="33" t="s">
        <v>204</v>
      </c>
      <c r="D43" s="36">
        <f>TRUNC(SUM(D41:D42),2)</f>
        <v>1934.61</v>
      </c>
      <c r="H43" s="32"/>
      <c r="I43" s="32"/>
    </row>
    <row r="44" spans="1:9">
      <c r="A44" s="21"/>
      <c r="C44" s="37"/>
      <c r="D44" s="28"/>
      <c r="H44" s="32"/>
      <c r="I44" s="32"/>
    </row>
    <row r="45" spans="1:9">
      <c r="A45" s="184" t="s">
        <v>77</v>
      </c>
      <c r="B45" s="186"/>
      <c r="C45" s="186"/>
      <c r="D45" s="186"/>
    </row>
    <row r="46" spans="1:9">
      <c r="A46" s="21" t="s">
        <v>78</v>
      </c>
      <c r="B46" s="2" t="s">
        <v>79</v>
      </c>
      <c r="C46" s="22" t="s">
        <v>38</v>
      </c>
      <c r="D46" s="22" t="s">
        <v>80</v>
      </c>
    </row>
    <row r="47" spans="1:9">
      <c r="A47" s="21" t="s">
        <v>42</v>
      </c>
      <c r="B47" t="s">
        <v>81</v>
      </c>
      <c r="C47" s="31">
        <v>0.2</v>
      </c>
      <c r="D47" s="78">
        <f t="shared" ref="D47:D54" si="0">TRUNC(($D$43*C47),2)</f>
        <v>386.92</v>
      </c>
    </row>
    <row r="48" spans="1:9">
      <c r="A48" s="21" t="s">
        <v>45</v>
      </c>
      <c r="B48" t="s">
        <v>82</v>
      </c>
      <c r="C48" s="31">
        <v>2.5000000000000001E-2</v>
      </c>
      <c r="D48" s="78">
        <f t="shared" si="0"/>
        <v>48.36</v>
      </c>
    </row>
    <row r="49" spans="1:8">
      <c r="A49" s="21" t="s">
        <v>48</v>
      </c>
      <c r="B49" t="s">
        <v>205</v>
      </c>
      <c r="C49" s="38">
        <v>0.03</v>
      </c>
      <c r="D49" s="78">
        <f t="shared" si="0"/>
        <v>58.03</v>
      </c>
    </row>
    <row r="50" spans="1:8">
      <c r="A50" s="21" t="s">
        <v>50</v>
      </c>
      <c r="B50" t="s">
        <v>84</v>
      </c>
      <c r="C50" s="31">
        <v>1.4999999999999999E-2</v>
      </c>
      <c r="D50" s="78">
        <f t="shared" si="0"/>
        <v>29.01</v>
      </c>
    </row>
    <row r="51" spans="1:8">
      <c r="A51" s="21" t="s">
        <v>53</v>
      </c>
      <c r="B51" t="s">
        <v>85</v>
      </c>
      <c r="C51" s="31">
        <v>0.01</v>
      </c>
      <c r="D51" s="78">
        <f t="shared" si="0"/>
        <v>19.34</v>
      </c>
    </row>
    <row r="52" spans="1:8">
      <c r="A52" s="21" t="s">
        <v>55</v>
      </c>
      <c r="B52" t="s">
        <v>86</v>
      </c>
      <c r="C52" s="31">
        <v>6.0000000000000001E-3</v>
      </c>
      <c r="D52" s="78">
        <f t="shared" si="0"/>
        <v>11.6</v>
      </c>
    </row>
    <row r="53" spans="1:8">
      <c r="A53" s="21" t="s">
        <v>87</v>
      </c>
      <c r="B53" t="s">
        <v>88</v>
      </c>
      <c r="C53" s="31">
        <v>2E-3</v>
      </c>
      <c r="D53" s="78">
        <f t="shared" si="0"/>
        <v>3.86</v>
      </c>
    </row>
    <row r="54" spans="1:8">
      <c r="A54" s="21" t="s">
        <v>89</v>
      </c>
      <c r="B54" t="s">
        <v>90</v>
      </c>
      <c r="C54" s="31">
        <v>0.08</v>
      </c>
      <c r="D54" s="78">
        <f t="shared" si="0"/>
        <v>154.76</v>
      </c>
    </row>
    <row r="55" spans="1:8">
      <c r="A55" s="21" t="s">
        <v>58</v>
      </c>
      <c r="C55" s="37">
        <f>SUM(C47:C54)</f>
        <v>0.36800000000000005</v>
      </c>
      <c r="D55" s="28">
        <f>TRUNC((SUM(D47:D54)),2)</f>
        <v>711.88</v>
      </c>
    </row>
    <row r="56" spans="1:8">
      <c r="A56" s="21"/>
      <c r="C56" s="37"/>
      <c r="D56" s="28"/>
    </row>
    <row r="57" spans="1:8">
      <c r="A57" s="184" t="s">
        <v>95</v>
      </c>
      <c r="B57" s="186"/>
      <c r="C57" s="186"/>
      <c r="D57" s="186"/>
    </row>
    <row r="58" spans="1:8">
      <c r="A58" s="21" t="s">
        <v>96</v>
      </c>
      <c r="B58" s="2" t="s">
        <v>97</v>
      </c>
      <c r="C58" s="22" t="s">
        <v>18</v>
      </c>
      <c r="D58" s="22" t="s">
        <v>19</v>
      </c>
    </row>
    <row r="59" spans="1:8">
      <c r="A59" s="21" t="s">
        <v>42</v>
      </c>
      <c r="B59" t="s">
        <v>98</v>
      </c>
      <c r="C59" s="23"/>
      <c r="D59" s="39">
        <v>0</v>
      </c>
    </row>
    <row r="60" spans="1:8">
      <c r="A60" s="21" t="s">
        <v>45</v>
      </c>
      <c r="B60" t="s">
        <v>99</v>
      </c>
      <c r="C60" s="23" t="str">
        <f>C9</f>
        <v>CCT PB000517/2021</v>
      </c>
      <c r="D60" s="24">
        <f>TRUNC((((22*20.91))-(((22*20.91))*0.2)),2)</f>
        <v>368.01</v>
      </c>
    </row>
    <row r="61" spans="1:8">
      <c r="A61" s="21" t="s">
        <v>48</v>
      </c>
      <c r="B61" t="s">
        <v>100</v>
      </c>
      <c r="C61" s="23"/>
      <c r="D61" s="24">
        <v>0</v>
      </c>
    </row>
    <row r="62" spans="1:8">
      <c r="A62" s="21" t="s">
        <v>50</v>
      </c>
      <c r="B62" s="40" t="s">
        <v>206</v>
      </c>
      <c r="C62" s="41"/>
      <c r="D62" s="41">
        <v>0</v>
      </c>
      <c r="H62" s="40"/>
    </row>
    <row r="63" spans="1:8">
      <c r="A63" s="21" t="s">
        <v>53</v>
      </c>
      <c r="B63" s="2" t="s">
        <v>207</v>
      </c>
      <c r="C63" s="23" t="str">
        <f>C60</f>
        <v>CCT PB000517/2021</v>
      </c>
      <c r="D63" s="24">
        <v>20</v>
      </c>
    </row>
    <row r="64" spans="1:8">
      <c r="A64" s="21" t="s">
        <v>55</v>
      </c>
      <c r="B64" s="42" t="s">
        <v>208</v>
      </c>
      <c r="C64" s="23" t="str">
        <f>C9</f>
        <v>CCT PB000517/2021</v>
      </c>
      <c r="D64" s="24">
        <v>5</v>
      </c>
    </row>
    <row r="65" spans="1:4">
      <c r="A65" s="21" t="s">
        <v>87</v>
      </c>
      <c r="B65" s="42" t="s">
        <v>209</v>
      </c>
      <c r="C65" s="41" t="str">
        <f>C60</f>
        <v>CCT PB000517/2021</v>
      </c>
      <c r="D65" s="24">
        <v>40</v>
      </c>
    </row>
    <row r="66" spans="1:4">
      <c r="A66" s="21" t="s">
        <v>58</v>
      </c>
      <c r="D66" s="28">
        <f>TRUNC((SUM(D59:D65)),2)</f>
        <v>433.01</v>
      </c>
    </row>
    <row r="67" spans="1:4">
      <c r="A67" s="21"/>
      <c r="D67" s="28"/>
    </row>
    <row r="68" spans="1:4">
      <c r="A68" s="184" t="s">
        <v>105</v>
      </c>
      <c r="B68" s="186"/>
      <c r="C68" s="186"/>
      <c r="D68" s="186"/>
    </row>
    <row r="69" spans="1:4">
      <c r="A69" s="21" t="s">
        <v>106</v>
      </c>
      <c r="B69" s="2" t="s">
        <v>107</v>
      </c>
      <c r="C69" s="22" t="s">
        <v>18</v>
      </c>
      <c r="D69" s="22" t="s">
        <v>19</v>
      </c>
    </row>
    <row r="70" spans="1:4">
      <c r="A70" s="21" t="s">
        <v>65</v>
      </c>
      <c r="B70" t="s">
        <v>66</v>
      </c>
      <c r="C70" s="22"/>
      <c r="D70" s="28">
        <f>D39</f>
        <v>314.93</v>
      </c>
    </row>
    <row r="71" spans="1:4">
      <c r="A71" s="21" t="s">
        <v>78</v>
      </c>
      <c r="B71" t="s">
        <v>79</v>
      </c>
      <c r="C71" s="22"/>
      <c r="D71" s="28">
        <f>D55</f>
        <v>711.88</v>
      </c>
    </row>
    <row r="72" spans="1:4">
      <c r="A72" s="21" t="s">
        <v>96</v>
      </c>
      <c r="B72" t="s">
        <v>97</v>
      </c>
      <c r="C72" s="22"/>
      <c r="D72" s="28">
        <f>D66</f>
        <v>433.01</v>
      </c>
    </row>
    <row r="73" spans="1:4">
      <c r="A73" s="21" t="s">
        <v>58</v>
      </c>
      <c r="C73" s="22"/>
      <c r="D73" s="28">
        <f>TRUNC((SUM(D70:D72)),2)</f>
        <v>1459.82</v>
      </c>
    </row>
    <row r="75" spans="1:4">
      <c r="A75" s="190" t="s">
        <v>108</v>
      </c>
      <c r="B75" s="183"/>
      <c r="C75" s="183"/>
      <c r="D75" s="183"/>
    </row>
    <row r="76" spans="1:4">
      <c r="A76" s="21" t="s">
        <v>109</v>
      </c>
      <c r="B76" s="2" t="s">
        <v>110</v>
      </c>
      <c r="C76" s="22" t="s">
        <v>38</v>
      </c>
      <c r="D76" s="22" t="s">
        <v>19</v>
      </c>
    </row>
    <row r="77" spans="1:4">
      <c r="A77" s="21" t="s">
        <v>42</v>
      </c>
      <c r="B77" t="s">
        <v>111</v>
      </c>
      <c r="C77" s="38">
        <f>((1/12)*2%)</f>
        <v>1.6666666666666666E-3</v>
      </c>
      <c r="D77" s="24">
        <f>TRUNC(($D$31*C77),2)</f>
        <v>2.69</v>
      </c>
    </row>
    <row r="78" spans="1:4">
      <c r="A78" s="21" t="s">
        <v>45</v>
      </c>
      <c r="B78" t="s">
        <v>112</v>
      </c>
      <c r="C78" s="43">
        <v>0.08</v>
      </c>
      <c r="D78" s="28">
        <f>TRUNC(($D$77*C78),2)</f>
        <v>0.21</v>
      </c>
    </row>
    <row r="79" spans="1:4" ht="30">
      <c r="A79" s="21" t="s">
        <v>48</v>
      </c>
      <c r="B79" s="44" t="s">
        <v>113</v>
      </c>
      <c r="C79" s="45">
        <f>(0.08*0.4*0.02)</f>
        <v>6.4000000000000005E-4</v>
      </c>
      <c r="D79" s="41">
        <f t="shared" ref="D79:D80" si="1">TRUNC(($D$31*C79),2)</f>
        <v>1.03</v>
      </c>
    </row>
    <row r="80" spans="1:4">
      <c r="A80" s="21" t="s">
        <v>50</v>
      </c>
      <c r="B80" t="s">
        <v>114</v>
      </c>
      <c r="C80" s="43">
        <f>(((7/30)/12)*0.98)</f>
        <v>1.9055555555555555E-2</v>
      </c>
      <c r="D80" s="28">
        <f t="shared" si="1"/>
        <v>30.86</v>
      </c>
    </row>
    <row r="81" spans="1:4" ht="30">
      <c r="A81" s="21" t="s">
        <v>53</v>
      </c>
      <c r="B81" s="44" t="s">
        <v>210</v>
      </c>
      <c r="C81" s="45">
        <f>C55</f>
        <v>0.36800000000000005</v>
      </c>
      <c r="D81" s="41">
        <f>TRUNC(($D$80*C81),2)</f>
        <v>11.35</v>
      </c>
    </row>
    <row r="82" spans="1:4" ht="30">
      <c r="A82" s="21" t="s">
        <v>55</v>
      </c>
      <c r="B82" s="44" t="s">
        <v>115</v>
      </c>
      <c r="C82" s="45">
        <f>(0.08*0.4*0.98)</f>
        <v>3.1359999999999999E-2</v>
      </c>
      <c r="D82" s="41">
        <f>TRUNC(($D$31*C82),2)</f>
        <v>50.79</v>
      </c>
    </row>
    <row r="83" spans="1:4">
      <c r="A83" s="21" t="s">
        <v>58</v>
      </c>
      <c r="C83" s="43">
        <f>SUM(C77:C82)</f>
        <v>0.50072222222222229</v>
      </c>
      <c r="D83" s="28">
        <f>TRUNC((SUM(D77:D82)),2)</f>
        <v>96.93</v>
      </c>
    </row>
    <row r="84" spans="1:4">
      <c r="A84" s="21"/>
      <c r="D84" s="28"/>
    </row>
    <row r="85" spans="1:4">
      <c r="A85" s="192" t="s">
        <v>211</v>
      </c>
      <c r="B85" s="192"/>
      <c r="C85" s="33" t="s">
        <v>202</v>
      </c>
      <c r="D85" s="34">
        <f>D31</f>
        <v>1619.68</v>
      </c>
    </row>
    <row r="86" spans="1:4">
      <c r="A86" s="192"/>
      <c r="B86" s="192"/>
      <c r="C86" s="35" t="s">
        <v>212</v>
      </c>
      <c r="D86" s="34">
        <f>D73</f>
        <v>1459.82</v>
      </c>
    </row>
    <row r="87" spans="1:4">
      <c r="A87" s="192"/>
      <c r="B87" s="192"/>
      <c r="C87" s="33" t="s">
        <v>213</v>
      </c>
      <c r="D87" s="34">
        <f>D83</f>
        <v>96.93</v>
      </c>
    </row>
    <row r="88" spans="1:4">
      <c r="A88" s="192"/>
      <c r="B88" s="192"/>
      <c r="C88" s="35" t="s">
        <v>204</v>
      </c>
      <c r="D88" s="36">
        <f>TRUNC((SUM(D85:D87)),2)</f>
        <v>3176.43</v>
      </c>
    </row>
    <row r="89" spans="1:4">
      <c r="A89" s="21"/>
      <c r="D89" s="28"/>
    </row>
    <row r="90" spans="1:4">
      <c r="A90" s="198" t="s">
        <v>127</v>
      </c>
      <c r="B90" s="185"/>
      <c r="C90" s="185"/>
      <c r="D90" s="185"/>
    </row>
    <row r="91" spans="1:4">
      <c r="A91" s="184" t="s">
        <v>128</v>
      </c>
      <c r="B91" s="186"/>
      <c r="C91" s="186"/>
      <c r="D91" s="186"/>
    </row>
    <row r="92" spans="1:4">
      <c r="A92" s="21" t="s">
        <v>129</v>
      </c>
      <c r="B92" s="2" t="s">
        <v>130</v>
      </c>
      <c r="C92" s="22" t="s">
        <v>38</v>
      </c>
      <c r="D92" s="22" t="s">
        <v>19</v>
      </c>
    </row>
    <row r="93" spans="1:4">
      <c r="A93" s="21" t="s">
        <v>42</v>
      </c>
      <c r="B93" t="s">
        <v>132</v>
      </c>
      <c r="C93" s="43">
        <f>(((1+1/3)/12)/12)+((1/12)/12)</f>
        <v>1.6203703703703703E-2</v>
      </c>
      <c r="D93" s="28">
        <f t="shared" ref="D93:D97" si="2">TRUNC(($D$88*C93),2)</f>
        <v>51.46</v>
      </c>
    </row>
    <row r="94" spans="1:4">
      <c r="A94" s="21" t="s">
        <v>45</v>
      </c>
      <c r="B94" t="s">
        <v>133</v>
      </c>
      <c r="C94" s="38">
        <f>((5/30)/12)</f>
        <v>1.3888888888888888E-2</v>
      </c>
      <c r="D94" s="41">
        <f t="shared" si="2"/>
        <v>44.11</v>
      </c>
    </row>
    <row r="95" spans="1:4">
      <c r="A95" s="21" t="s">
        <v>48</v>
      </c>
      <c r="B95" t="s">
        <v>134</v>
      </c>
      <c r="C95" s="38">
        <f>((5/30)/12)*0.02</f>
        <v>2.7777777777777778E-4</v>
      </c>
      <c r="D95" s="41">
        <f t="shared" si="2"/>
        <v>0.88</v>
      </c>
    </row>
    <row r="96" spans="1:4" ht="30">
      <c r="A96" s="21" t="s">
        <v>50</v>
      </c>
      <c r="B96" s="44" t="s">
        <v>135</v>
      </c>
      <c r="C96" s="45">
        <f>((15/30)/12)*0.08</f>
        <v>3.3333333333333331E-3</v>
      </c>
      <c r="D96" s="41">
        <f t="shared" si="2"/>
        <v>10.58</v>
      </c>
    </row>
    <row r="97" spans="1:4">
      <c r="A97" s="21" t="s">
        <v>53</v>
      </c>
      <c r="B97" t="s">
        <v>136</v>
      </c>
      <c r="C97" s="38">
        <f>((1+1/3)/12)*0.00001*((4/12))</f>
        <v>3.7037037037037031E-7</v>
      </c>
      <c r="D97" s="41">
        <f t="shared" si="2"/>
        <v>0</v>
      </c>
    </row>
    <row r="98" spans="1:4" ht="30">
      <c r="A98" s="21" t="s">
        <v>55</v>
      </c>
      <c r="B98" s="44" t="s">
        <v>214</v>
      </c>
      <c r="C98" s="46">
        <v>0</v>
      </c>
      <c r="D98" s="41">
        <f>TRUNC($D$88*C98)</f>
        <v>0</v>
      </c>
    </row>
    <row r="99" spans="1:4">
      <c r="A99" s="21" t="s">
        <v>58</v>
      </c>
      <c r="C99" s="43">
        <f>SUBTOTAL(109,Submódulo4.159_54[Percentual])</f>
        <v>3.3704074074074074E-2</v>
      </c>
      <c r="D99" s="28">
        <f>TRUNC((SUM(D93:D98)),2)</f>
        <v>107.03</v>
      </c>
    </row>
    <row r="100" spans="1:4">
      <c r="A100" s="21"/>
      <c r="C100" s="22"/>
      <c r="D100" s="28"/>
    </row>
    <row r="101" spans="1:4">
      <c r="A101" s="184" t="s">
        <v>144</v>
      </c>
      <c r="B101" s="186"/>
      <c r="C101" s="186"/>
      <c r="D101" s="186"/>
    </row>
    <row r="102" spans="1:4">
      <c r="A102" s="21" t="s">
        <v>145</v>
      </c>
      <c r="B102" s="2" t="s">
        <v>146</v>
      </c>
      <c r="C102" s="22" t="s">
        <v>18</v>
      </c>
      <c r="D102" s="22" t="s">
        <v>19</v>
      </c>
    </row>
    <row r="103" spans="1:4" ht="90">
      <c r="A103" s="21" t="s">
        <v>42</v>
      </c>
      <c r="B103" s="47" t="s">
        <v>147</v>
      </c>
      <c r="C103" s="48" t="s">
        <v>215</v>
      </c>
      <c r="D103" s="49" t="s">
        <v>216</v>
      </c>
    </row>
    <row r="104" spans="1:4">
      <c r="A104" s="21" t="s">
        <v>58</v>
      </c>
      <c r="C104" s="22"/>
      <c r="D104" s="51" t="str">
        <f>D103</f>
        <v>*=TRUNCAR(($D$86/220)*(1*(365/12))/2)</v>
      </c>
    </row>
    <row r="106" spans="1:4">
      <c r="A106" s="184" t="s">
        <v>148</v>
      </c>
      <c r="B106" s="186"/>
      <c r="C106" s="186"/>
      <c r="D106" s="186"/>
    </row>
    <row r="107" spans="1:4">
      <c r="A107" s="21" t="s">
        <v>149</v>
      </c>
      <c r="B107" s="2" t="s">
        <v>150</v>
      </c>
      <c r="C107" s="22" t="s">
        <v>18</v>
      </c>
      <c r="D107" s="22" t="s">
        <v>19</v>
      </c>
    </row>
    <row r="108" spans="1:4">
      <c r="A108" s="21" t="s">
        <v>129</v>
      </c>
      <c r="B108" t="s">
        <v>130</v>
      </c>
      <c r="D108" s="24">
        <f>D99</f>
        <v>107.03</v>
      </c>
    </row>
    <row r="109" spans="1:4">
      <c r="A109" s="21" t="s">
        <v>145</v>
      </c>
      <c r="B109" t="s">
        <v>151</v>
      </c>
      <c r="C109" s="2"/>
      <c r="D109" s="52" t="str">
        <f>Submódulo4.260_55[[#Totals],[Valor]]</f>
        <v>*=TRUNCAR(($D$86/220)*(1*(365/12))/2)</v>
      </c>
    </row>
    <row r="110" spans="1:4" ht="60">
      <c r="A110" s="21" t="s">
        <v>58</v>
      </c>
      <c r="B110" s="40"/>
      <c r="C110" s="48" t="s">
        <v>217</v>
      </c>
      <c r="D110" s="53">
        <f>TRUNC((SUM(D108:D109)),2)</f>
        <v>107.03</v>
      </c>
    </row>
    <row r="112" spans="1:4">
      <c r="A112" s="190" t="s">
        <v>152</v>
      </c>
      <c r="B112" s="183"/>
      <c r="C112" s="183"/>
      <c r="D112" s="183"/>
    </row>
    <row r="113" spans="1:11" ht="30">
      <c r="A113" s="21" t="s">
        <v>153</v>
      </c>
      <c r="B113" s="40" t="s">
        <v>154</v>
      </c>
      <c r="C113" s="21" t="s">
        <v>18</v>
      </c>
      <c r="D113" s="21" t="s">
        <v>19</v>
      </c>
      <c r="H113" s="54" t="s">
        <v>218</v>
      </c>
      <c r="I113" s="55" t="s">
        <v>219</v>
      </c>
      <c r="J113" s="55" t="s">
        <v>220</v>
      </c>
      <c r="K113" s="55" t="s">
        <v>221</v>
      </c>
    </row>
    <row r="114" spans="1:11">
      <c r="A114" s="21" t="s">
        <v>42</v>
      </c>
      <c r="B114" t="s">
        <v>222</v>
      </c>
      <c r="D114" s="56">
        <f>F114</f>
        <v>0</v>
      </c>
      <c r="F114" cm="1">
        <f t="array" ref="F114:G114">'Uniformes e EPI'!G47:H47</f>
        <v>0</v>
      </c>
      <c r="G114">
        <v>0</v>
      </c>
      <c r="H114" s="57" t="s">
        <v>223</v>
      </c>
      <c r="I114" s="58">
        <v>0</v>
      </c>
      <c r="J114" s="59">
        <v>70</v>
      </c>
      <c r="K114" s="59">
        <f>TRUNC(J114*I114,2)</f>
        <v>0</v>
      </c>
    </row>
    <row r="115" spans="1:11">
      <c r="A115" s="21" t="s">
        <v>45</v>
      </c>
      <c r="B115" t="s">
        <v>224</v>
      </c>
      <c r="D115" s="56">
        <v>0</v>
      </c>
      <c r="H115" s="60" t="s">
        <v>225</v>
      </c>
      <c r="I115" s="61">
        <v>0</v>
      </c>
      <c r="J115" s="62">
        <v>35</v>
      </c>
      <c r="K115" s="59">
        <f>TRUNC(J115*I115,2)</f>
        <v>0</v>
      </c>
    </row>
    <row r="116" spans="1:11">
      <c r="A116" s="21" t="s">
        <v>48</v>
      </c>
      <c r="B116" t="s">
        <v>156</v>
      </c>
      <c r="D116" s="56">
        <v>0</v>
      </c>
      <c r="H116" s="194" t="s">
        <v>204</v>
      </c>
      <c r="I116" s="195"/>
      <c r="J116" s="196">
        <f>TRUNC(SUM(K114:K115),2)</f>
        <v>0</v>
      </c>
      <c r="K116" s="197"/>
    </row>
    <row r="117" spans="1:11">
      <c r="A117" s="21" t="s">
        <v>50</v>
      </c>
      <c r="B117" t="s">
        <v>157</v>
      </c>
      <c r="D117" s="56">
        <v>0</v>
      </c>
      <c r="H117" s="194" t="s">
        <v>226</v>
      </c>
      <c r="I117" s="195"/>
      <c r="J117" s="196">
        <f>TRUNC(J116/12,2)</f>
        <v>0</v>
      </c>
      <c r="K117" s="197"/>
    </row>
    <row r="118" spans="1:11">
      <c r="A118" s="21" t="s">
        <v>53</v>
      </c>
      <c r="B118" t="s">
        <v>227</v>
      </c>
      <c r="D118" s="56">
        <v>0</v>
      </c>
      <c r="H118" s="193" t="s">
        <v>228</v>
      </c>
      <c r="I118" s="193"/>
      <c r="J118" s="193"/>
      <c r="K118" s="193"/>
    </row>
    <row r="119" spans="1:11">
      <c r="A119" s="21" t="s">
        <v>58</v>
      </c>
      <c r="D119" s="63">
        <f>TRUNC(SUM(D114:D118),2)</f>
        <v>0</v>
      </c>
      <c r="H119" s="193"/>
      <c r="I119" s="193"/>
      <c r="J119" s="193"/>
      <c r="K119" s="193"/>
    </row>
    <row r="121" spans="1:11">
      <c r="A121" s="192" t="s">
        <v>229</v>
      </c>
      <c r="B121" s="192"/>
      <c r="C121" s="33" t="s">
        <v>202</v>
      </c>
      <c r="D121" s="34">
        <f>D31</f>
        <v>1619.68</v>
      </c>
    </row>
    <row r="122" spans="1:11">
      <c r="A122" s="192"/>
      <c r="B122" s="192"/>
      <c r="C122" s="35" t="s">
        <v>212</v>
      </c>
      <c r="D122" s="34">
        <f>D73</f>
        <v>1459.82</v>
      </c>
    </row>
    <row r="123" spans="1:11">
      <c r="A123" s="192"/>
      <c r="B123" s="192"/>
      <c r="C123" s="33" t="s">
        <v>213</v>
      </c>
      <c r="D123" s="34">
        <f>D83</f>
        <v>96.93</v>
      </c>
    </row>
    <row r="124" spans="1:11">
      <c r="A124" s="192"/>
      <c r="B124" s="192"/>
      <c r="C124" s="35" t="s">
        <v>230</v>
      </c>
      <c r="D124" s="34">
        <f>D110</f>
        <v>107.03</v>
      </c>
    </row>
    <row r="125" spans="1:11">
      <c r="A125" s="192"/>
      <c r="B125" s="192"/>
      <c r="C125" s="33" t="s">
        <v>231</v>
      </c>
      <c r="D125" s="34">
        <f>D119</f>
        <v>0</v>
      </c>
    </row>
    <row r="126" spans="1:11">
      <c r="A126" s="192"/>
      <c r="B126" s="192"/>
      <c r="C126" s="35" t="s">
        <v>204</v>
      </c>
      <c r="D126" s="36">
        <f>TRUNC((SUM(D121:D125)),2)</f>
        <v>3283.46</v>
      </c>
    </row>
    <row r="128" spans="1:11">
      <c r="A128" s="190" t="s">
        <v>164</v>
      </c>
      <c r="B128" s="183"/>
      <c r="C128" s="183"/>
      <c r="D128" s="183"/>
    </row>
    <row r="129" spans="1:9">
      <c r="A129" s="21" t="s">
        <v>165</v>
      </c>
      <c r="B129" t="s">
        <v>166</v>
      </c>
      <c r="C129" s="22" t="s">
        <v>38</v>
      </c>
      <c r="D129" s="22" t="s">
        <v>19</v>
      </c>
      <c r="H129" s="191" t="s">
        <v>232</v>
      </c>
      <c r="I129" s="191"/>
    </row>
    <row r="130" spans="1:9">
      <c r="A130" s="21" t="s">
        <v>42</v>
      </c>
      <c r="B130" t="s">
        <v>167</v>
      </c>
      <c r="C130" s="38">
        <v>0.01</v>
      </c>
      <c r="D130" s="24">
        <f>TRUNC(($D$126*C130),2)</f>
        <v>32.83</v>
      </c>
      <c r="H130" s="57" t="s">
        <v>233</v>
      </c>
      <c r="I130" s="45">
        <f>C132</f>
        <v>8.6499999999999994E-2</v>
      </c>
    </row>
    <row r="131" spans="1:9">
      <c r="A131" s="21" t="s">
        <v>45</v>
      </c>
      <c r="B131" t="s">
        <v>59</v>
      </c>
      <c r="C131" s="38">
        <v>0.01</v>
      </c>
      <c r="D131" s="24">
        <f>TRUNC((C131*(D126+D130)),2)</f>
        <v>33.159999999999997</v>
      </c>
      <c r="H131" s="64" t="s">
        <v>234</v>
      </c>
      <c r="I131" s="65">
        <f>TRUNC(SUM(D126,D130,D131),2)</f>
        <v>3349.45</v>
      </c>
    </row>
    <row r="132" spans="1:9">
      <c r="A132" s="21" t="s">
        <v>48</v>
      </c>
      <c r="B132" t="s">
        <v>168</v>
      </c>
      <c r="C132" s="38">
        <f>SUM(C133:C135)</f>
        <v>8.6499999999999994E-2</v>
      </c>
      <c r="D132" s="24">
        <f>TRUNC((SUM(D133:D135)),2)</f>
        <v>317.14999999999998</v>
      </c>
      <c r="H132" s="57" t="s">
        <v>235</v>
      </c>
      <c r="I132" s="66">
        <f>(100-8.65)/100</f>
        <v>0.91349999999999998</v>
      </c>
    </row>
    <row r="133" spans="1:9">
      <c r="A133" s="21"/>
      <c r="B133" t="s">
        <v>236</v>
      </c>
      <c r="C133" s="38">
        <v>6.4999999999999997E-3</v>
      </c>
      <c r="D133" s="24">
        <f t="shared" ref="D133:D135" si="3">TRUNC(($I$133*C133),2)</f>
        <v>23.83</v>
      </c>
      <c r="H133" s="64" t="s">
        <v>232</v>
      </c>
      <c r="I133" s="65">
        <f>TRUNC((I131/I132),2)</f>
        <v>3666.61</v>
      </c>
    </row>
    <row r="134" spans="1:9">
      <c r="A134" s="21"/>
      <c r="B134" t="s">
        <v>237</v>
      </c>
      <c r="C134" s="38">
        <v>0.03</v>
      </c>
      <c r="D134" s="24">
        <f t="shared" si="3"/>
        <v>109.99</v>
      </c>
    </row>
    <row r="135" spans="1:9">
      <c r="A135" s="21"/>
      <c r="B135" t="s">
        <v>238</v>
      </c>
      <c r="C135" s="38">
        <v>0.05</v>
      </c>
      <c r="D135" s="24">
        <f t="shared" si="3"/>
        <v>183.33</v>
      </c>
    </row>
    <row r="136" spans="1:9">
      <c r="A136" s="21" t="s">
        <v>58</v>
      </c>
      <c r="C136" s="67"/>
      <c r="D136" s="28">
        <f>TRUNC(SUM(D130:D132),2)</f>
        <v>383.14</v>
      </c>
    </row>
    <row r="137" spans="1:9">
      <c r="A137" s="21"/>
      <c r="C137" s="67"/>
      <c r="D137" s="28"/>
    </row>
    <row r="139" spans="1:9">
      <c r="A139" s="190" t="s">
        <v>172</v>
      </c>
      <c r="B139" s="183"/>
      <c r="C139" s="183"/>
      <c r="D139" s="183"/>
    </row>
    <row r="140" spans="1:9">
      <c r="A140" s="21" t="s">
        <v>16</v>
      </c>
      <c r="B140" s="22" t="s">
        <v>173</v>
      </c>
      <c r="C140" s="22" t="s">
        <v>102</v>
      </c>
      <c r="D140" s="22" t="s">
        <v>19</v>
      </c>
    </row>
    <row r="141" spans="1:9">
      <c r="A141" s="21" t="s">
        <v>42</v>
      </c>
      <c r="B141" t="s">
        <v>36</v>
      </c>
      <c r="D141" s="28">
        <f>D31</f>
        <v>1619.68</v>
      </c>
    </row>
    <row r="142" spans="1:9">
      <c r="A142" s="21" t="s">
        <v>45</v>
      </c>
      <c r="B142" t="s">
        <v>61</v>
      </c>
      <c r="D142" s="28">
        <f>D73</f>
        <v>1459.82</v>
      </c>
    </row>
    <row r="143" spans="1:9">
      <c r="A143" s="21" t="s">
        <v>48</v>
      </c>
      <c r="B143" t="s">
        <v>108</v>
      </c>
      <c r="D143" s="28">
        <f>D83</f>
        <v>96.93</v>
      </c>
    </row>
    <row r="144" spans="1:9">
      <c r="A144" s="21" t="s">
        <v>50</v>
      </c>
      <c r="B144" t="s">
        <v>174</v>
      </c>
      <c r="D144" s="28">
        <f>D110</f>
        <v>107.03</v>
      </c>
    </row>
    <row r="145" spans="1:4">
      <c r="A145" s="21" t="s">
        <v>53</v>
      </c>
      <c r="B145" t="s">
        <v>152</v>
      </c>
      <c r="D145" s="28">
        <f>D119</f>
        <v>0</v>
      </c>
    </row>
    <row r="146" spans="1:4">
      <c r="B146" s="68" t="s">
        <v>239</v>
      </c>
      <c r="D146" s="28">
        <f>TRUNC(SUM(D141:D145),2)</f>
        <v>3283.46</v>
      </c>
    </row>
    <row r="147" spans="1:4">
      <c r="A147" s="21" t="s">
        <v>55</v>
      </c>
      <c r="B147" t="s">
        <v>164</v>
      </c>
      <c r="D147" s="28">
        <f>D136</f>
        <v>383.14</v>
      </c>
    </row>
    <row r="148" spans="1:4">
      <c r="A148" s="69"/>
      <c r="B148" s="70" t="s">
        <v>240</v>
      </c>
      <c r="C148" s="71"/>
      <c r="D148" s="72">
        <f>TRUNC((SUM(D141:D145)+D147),2)</f>
        <v>3666.6</v>
      </c>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A91:D91"/>
    <mergeCell ref="A101:D101"/>
    <mergeCell ref="H31:I31"/>
    <mergeCell ref="A33:D33"/>
    <mergeCell ref="A35:D35"/>
    <mergeCell ref="A45:D45"/>
    <mergeCell ref="A57:D57"/>
    <mergeCell ref="A128:D128"/>
    <mergeCell ref="H129:I129"/>
    <mergeCell ref="A139:D139"/>
    <mergeCell ref="A41:B43"/>
    <mergeCell ref="A85:B88"/>
    <mergeCell ref="A121:B126"/>
    <mergeCell ref="H118:K119"/>
    <mergeCell ref="A106:D106"/>
    <mergeCell ref="A112:D112"/>
    <mergeCell ref="H116:I116"/>
    <mergeCell ref="J116:K116"/>
    <mergeCell ref="H117:I117"/>
    <mergeCell ref="J117:K117"/>
    <mergeCell ref="A68:D68"/>
    <mergeCell ref="A75:D75"/>
    <mergeCell ref="A90:D90"/>
  </mergeCells>
  <pageMargins left="0.25" right="0.25" top="0.75" bottom="0.75" header="0.3" footer="0.3"/>
  <pageSetup paperSize="9" scale="76" fitToHeight="0" orientation="portrait"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K148"/>
  <sheetViews>
    <sheetView workbookViewId="0">
      <selection activeCell="C7" sqref="C7:D7"/>
    </sheetView>
  </sheetViews>
  <sheetFormatPr defaultColWidth="9.140625" defaultRowHeight="15"/>
  <cols>
    <col min="1" max="1" width="10.5703125" style="4" customWidth="1"/>
    <col min="2" max="2" width="50.7109375" customWidth="1"/>
    <col min="3" max="3" width="28.7109375" customWidth="1"/>
    <col min="4" max="4" width="36.5703125" customWidth="1"/>
    <col min="6" max="7" width="0" hidden="1" customWidth="1"/>
    <col min="8" max="8" width="22.85546875" customWidth="1"/>
    <col min="9" max="9" width="12.85546875" customWidth="1"/>
    <col min="10" max="10" width="10" customWidth="1"/>
    <col min="11" max="11" width="11.42578125" customWidth="1"/>
  </cols>
  <sheetData>
    <row r="2" spans="1:9" ht="18.75">
      <c r="A2" s="208" t="s">
        <v>177</v>
      </c>
      <c r="B2" s="209"/>
      <c r="C2" s="209"/>
      <c r="D2" s="209"/>
    </row>
    <row r="3" spans="1:9">
      <c r="A3" s="214" t="str">
        <f>Pedreiro!A3</f>
        <v>Processo Administrativo n.° 23324.000132.2023-89</v>
      </c>
      <c r="B3" s="215"/>
      <c r="C3" s="215"/>
      <c r="D3" s="215"/>
    </row>
    <row r="4" spans="1:9" ht="21" customHeight="1">
      <c r="A4" s="5" t="s">
        <v>178</v>
      </c>
      <c r="B4" s="111" t="s">
        <v>419</v>
      </c>
      <c r="C4" s="7"/>
      <c r="D4" s="7"/>
    </row>
    <row r="5" spans="1:9">
      <c r="A5" s="8"/>
      <c r="B5" s="9"/>
      <c r="C5" s="9"/>
      <c r="D5" s="9"/>
    </row>
    <row r="6" spans="1:9">
      <c r="A6" s="190" t="s">
        <v>179</v>
      </c>
      <c r="B6" s="183"/>
      <c r="C6" s="183"/>
      <c r="D6" s="183"/>
    </row>
    <row r="7" spans="1:9">
      <c r="A7" s="10" t="s">
        <v>42</v>
      </c>
      <c r="B7" s="11" t="s">
        <v>180</v>
      </c>
      <c r="C7" s="212" t="s">
        <v>302</v>
      </c>
      <c r="D7" s="213"/>
    </row>
    <row r="8" spans="1:9">
      <c r="A8" s="12" t="s">
        <v>45</v>
      </c>
      <c r="B8" s="13" t="s">
        <v>181</v>
      </c>
      <c r="C8" s="203" t="s">
        <v>182</v>
      </c>
      <c r="D8" s="203"/>
    </row>
    <row r="9" spans="1:9">
      <c r="A9" s="15" t="s">
        <v>48</v>
      </c>
      <c r="B9" s="16" t="s">
        <v>183</v>
      </c>
      <c r="C9" s="203" t="s">
        <v>184</v>
      </c>
      <c r="D9" s="203"/>
    </row>
    <row r="10" spans="1:9">
      <c r="A10" s="12" t="s">
        <v>53</v>
      </c>
      <c r="B10" s="13" t="s">
        <v>185</v>
      </c>
      <c r="C10" s="203" t="s">
        <v>186</v>
      </c>
      <c r="D10" s="203"/>
    </row>
    <row r="11" spans="1:9">
      <c r="A11" s="201" t="s">
        <v>187</v>
      </c>
      <c r="B11" s="202"/>
      <c r="C11" s="202"/>
      <c r="D11" s="202"/>
    </row>
    <row r="12" spans="1:9">
      <c r="A12" s="204" t="s">
        <v>188</v>
      </c>
      <c r="B12" s="205"/>
      <c r="C12" s="17" t="s">
        <v>189</v>
      </c>
      <c r="D12" s="18" t="s">
        <v>190</v>
      </c>
    </row>
    <row r="13" spans="1:9">
      <c r="A13" s="206" t="s">
        <v>306</v>
      </c>
      <c r="B13" s="207"/>
      <c r="C13" s="14" t="s">
        <v>192</v>
      </c>
      <c r="D13" s="19">
        <f>RESUMO!D6</f>
        <v>1</v>
      </c>
    </row>
    <row r="14" spans="1:9">
      <c r="A14" s="199"/>
      <c r="B14" s="200"/>
      <c r="C14" s="14"/>
      <c r="D14" s="20"/>
    </row>
    <row r="15" spans="1:9">
      <c r="A15" s="201" t="s">
        <v>14</v>
      </c>
      <c r="B15" s="202"/>
      <c r="C15" s="202"/>
      <c r="D15" s="202"/>
      <c r="H15" s="186"/>
      <c r="I15" s="186"/>
    </row>
    <row r="16" spans="1:9">
      <c r="A16" s="21" t="s">
        <v>16</v>
      </c>
      <c r="B16" t="s">
        <v>17</v>
      </c>
      <c r="C16" s="22" t="s">
        <v>18</v>
      </c>
      <c r="D16" s="22" t="s">
        <v>19</v>
      </c>
    </row>
    <row r="17" spans="1:9">
      <c r="A17" s="21">
        <v>1</v>
      </c>
      <c r="B17" t="s">
        <v>20</v>
      </c>
      <c r="C17" s="23" t="s">
        <v>102</v>
      </c>
      <c r="D17" s="23" t="str">
        <f>A13</f>
        <v>Técnico em Manutenção Predial</v>
      </c>
    </row>
    <row r="18" spans="1:9">
      <c r="A18" s="21">
        <v>2</v>
      </c>
      <c r="B18" t="s">
        <v>23</v>
      </c>
      <c r="C18" s="23" t="s">
        <v>193</v>
      </c>
      <c r="D18" s="23" t="s">
        <v>303</v>
      </c>
    </row>
    <row r="19" spans="1:9">
      <c r="A19" s="21">
        <v>3</v>
      </c>
      <c r="B19" t="s">
        <v>26</v>
      </c>
      <c r="C19" s="23" t="str">
        <f>C9</f>
        <v>CCT PB000517/2021</v>
      </c>
      <c r="D19" s="24">
        <v>1619.68</v>
      </c>
    </row>
    <row r="20" spans="1:9">
      <c r="A20" s="21">
        <v>4</v>
      </c>
      <c r="B20" t="s">
        <v>29</v>
      </c>
      <c r="C20" s="23" t="str">
        <f>C9</f>
        <v>CCT PB000517/2021</v>
      </c>
      <c r="D20" s="25" t="s">
        <v>195</v>
      </c>
    </row>
    <row r="21" spans="1:9">
      <c r="A21" s="21">
        <v>5</v>
      </c>
      <c r="B21" t="s">
        <v>33</v>
      </c>
      <c r="C21" s="23" t="str">
        <f>C9</f>
        <v>CCT PB000517/2021</v>
      </c>
      <c r="D21" s="26" t="s">
        <v>196</v>
      </c>
    </row>
    <row r="22" spans="1:9">
      <c r="H22" s="186"/>
      <c r="I22" s="186"/>
    </row>
    <row r="23" spans="1:9">
      <c r="A23" s="190" t="s">
        <v>36</v>
      </c>
      <c r="B23" s="183"/>
      <c r="C23" s="183"/>
      <c r="D23" s="183"/>
    </row>
    <row r="24" spans="1:9">
      <c r="A24" s="21" t="s">
        <v>39</v>
      </c>
      <c r="B24" s="2" t="s">
        <v>40</v>
      </c>
      <c r="C24" s="22" t="s">
        <v>18</v>
      </c>
      <c r="D24" s="22" t="s">
        <v>19</v>
      </c>
      <c r="I24" s="27"/>
    </row>
    <row r="25" spans="1:9">
      <c r="A25" s="21" t="s">
        <v>42</v>
      </c>
      <c r="B25" t="s">
        <v>43</v>
      </c>
      <c r="C25" s="25" t="s">
        <v>197</v>
      </c>
      <c r="D25" s="24">
        <f>D19</f>
        <v>1619.68</v>
      </c>
      <c r="I25" s="27"/>
    </row>
    <row r="26" spans="1:9">
      <c r="A26" s="21" t="s">
        <v>45</v>
      </c>
      <c r="B26" t="s">
        <v>198</v>
      </c>
      <c r="C26" s="25"/>
      <c r="D26" s="24">
        <v>0</v>
      </c>
      <c r="I26" s="27"/>
    </row>
    <row r="27" spans="1:9">
      <c r="A27" s="21" t="s">
        <v>48</v>
      </c>
      <c r="B27" t="s">
        <v>199</v>
      </c>
      <c r="C27" s="25"/>
      <c r="D27" s="24">
        <v>0</v>
      </c>
    </row>
    <row r="28" spans="1:9">
      <c r="A28" s="21" t="s">
        <v>50</v>
      </c>
      <c r="B28" t="s">
        <v>51</v>
      </c>
      <c r="C28" s="25"/>
      <c r="D28" s="24">
        <v>0</v>
      </c>
    </row>
    <row r="29" spans="1:9">
      <c r="A29" s="21" t="s">
        <v>53</v>
      </c>
      <c r="B29" t="s">
        <v>54</v>
      </c>
      <c r="C29" s="25"/>
      <c r="D29" s="24">
        <v>0</v>
      </c>
    </row>
    <row r="30" spans="1:9">
      <c r="A30" s="21" t="s">
        <v>55</v>
      </c>
      <c r="B30" t="s">
        <v>56</v>
      </c>
      <c r="C30" s="25"/>
      <c r="D30" s="24">
        <v>0</v>
      </c>
    </row>
    <row r="31" spans="1:9">
      <c r="A31" s="21" t="s">
        <v>58</v>
      </c>
      <c r="C31" s="22"/>
      <c r="D31" s="28">
        <f>TRUNC((SUM(D25:D30)),2)</f>
        <v>1619.68</v>
      </c>
      <c r="H31" s="186"/>
      <c r="I31" s="186"/>
    </row>
    <row r="32" spans="1:9">
      <c r="B32" s="29" t="s">
        <v>200</v>
      </c>
    </row>
    <row r="33" spans="1:9">
      <c r="A33" s="192" t="s">
        <v>61</v>
      </c>
      <c r="B33" s="187"/>
      <c r="C33" s="187"/>
      <c r="D33" s="187"/>
      <c r="I33" s="27"/>
    </row>
    <row r="35" spans="1:9">
      <c r="A35" s="184" t="s">
        <v>63</v>
      </c>
      <c r="B35" s="186"/>
      <c r="C35" s="186"/>
      <c r="D35" s="186"/>
    </row>
    <row r="36" spans="1:9">
      <c r="A36" s="21" t="s">
        <v>65</v>
      </c>
      <c r="B36" s="2" t="s">
        <v>66</v>
      </c>
      <c r="C36" s="22" t="s">
        <v>38</v>
      </c>
      <c r="D36" s="22" t="s">
        <v>19</v>
      </c>
    </row>
    <row r="37" spans="1:9">
      <c r="A37" s="21" t="s">
        <v>42</v>
      </c>
      <c r="B37" t="s">
        <v>67</v>
      </c>
      <c r="C37" s="31">
        <f>(1/12)</f>
        <v>8.3333333333333329E-2</v>
      </c>
      <c r="D37" s="28">
        <f>TRUNC($D$31*C37,2)</f>
        <v>134.97</v>
      </c>
      <c r="H37" s="32"/>
      <c r="I37" s="32"/>
    </row>
    <row r="38" spans="1:9">
      <c r="A38" s="21" t="s">
        <v>45</v>
      </c>
      <c r="B38" t="s">
        <v>68</v>
      </c>
      <c r="C38" s="31">
        <f>(((1+1/3)/12))</f>
        <v>0.1111111111111111</v>
      </c>
      <c r="D38" s="28">
        <f>TRUNC($D$31*C38,2)</f>
        <v>179.96</v>
      </c>
      <c r="H38" s="32"/>
      <c r="I38" s="32"/>
    </row>
    <row r="39" spans="1:9">
      <c r="A39" s="21" t="s">
        <v>58</v>
      </c>
      <c r="D39" s="28">
        <f>TRUNC((SUM(D37:D38)),2)</f>
        <v>314.93</v>
      </c>
      <c r="H39" s="32"/>
      <c r="I39" s="32"/>
    </row>
    <row r="40" spans="1:9">
      <c r="D40" s="28"/>
      <c r="H40" s="32"/>
      <c r="I40" s="32"/>
    </row>
    <row r="41" spans="1:9">
      <c r="A41" s="192" t="s">
        <v>201</v>
      </c>
      <c r="B41" s="192"/>
      <c r="C41" s="33" t="s">
        <v>202</v>
      </c>
      <c r="D41" s="34">
        <f>D31</f>
        <v>1619.68</v>
      </c>
      <c r="H41" s="32"/>
      <c r="I41" s="32"/>
    </row>
    <row r="42" spans="1:9">
      <c r="A42" s="192"/>
      <c r="B42" s="192"/>
      <c r="C42" s="35" t="s">
        <v>203</v>
      </c>
      <c r="D42" s="34">
        <f>D39</f>
        <v>314.93</v>
      </c>
      <c r="H42" s="32"/>
      <c r="I42" s="32"/>
    </row>
    <row r="43" spans="1:9">
      <c r="A43" s="192"/>
      <c r="B43" s="192"/>
      <c r="C43" s="33" t="s">
        <v>204</v>
      </c>
      <c r="D43" s="36">
        <f>TRUNC((SUM(D41:D42)),2)</f>
        <v>1934.61</v>
      </c>
      <c r="H43" s="32"/>
      <c r="I43" s="32"/>
    </row>
    <row r="44" spans="1:9">
      <c r="A44" s="21"/>
      <c r="C44" s="37"/>
      <c r="D44" s="28"/>
      <c r="H44" s="32"/>
      <c r="I44" s="32"/>
    </row>
    <row r="45" spans="1:9">
      <c r="A45" s="184" t="s">
        <v>77</v>
      </c>
      <c r="B45" s="186"/>
      <c r="C45" s="186"/>
      <c r="D45" s="186"/>
    </row>
    <row r="46" spans="1:9">
      <c r="A46" s="21" t="s">
        <v>78</v>
      </c>
      <c r="B46" s="2" t="s">
        <v>79</v>
      </c>
      <c r="C46" s="22" t="s">
        <v>38</v>
      </c>
      <c r="D46" s="22" t="s">
        <v>80</v>
      </c>
    </row>
    <row r="47" spans="1:9">
      <c r="A47" s="21" t="s">
        <v>42</v>
      </c>
      <c r="B47" t="s">
        <v>81</v>
      </c>
      <c r="C47" s="31">
        <v>0.2</v>
      </c>
      <c r="D47" s="28">
        <f t="shared" ref="D47:D54" si="0">TRUNC(($D$43*C47),2)</f>
        <v>386.92</v>
      </c>
    </row>
    <row r="48" spans="1:9">
      <c r="A48" s="21" t="s">
        <v>45</v>
      </c>
      <c r="B48" t="s">
        <v>82</v>
      </c>
      <c r="C48" s="31">
        <v>2.5000000000000001E-2</v>
      </c>
      <c r="D48" s="28">
        <f t="shared" si="0"/>
        <v>48.36</v>
      </c>
    </row>
    <row r="49" spans="1:8">
      <c r="A49" s="21" t="s">
        <v>48</v>
      </c>
      <c r="B49" t="s">
        <v>205</v>
      </c>
      <c r="C49" s="38">
        <v>0.03</v>
      </c>
      <c r="D49" s="24">
        <f t="shared" si="0"/>
        <v>58.03</v>
      </c>
    </row>
    <row r="50" spans="1:8">
      <c r="A50" s="21" t="s">
        <v>50</v>
      </c>
      <c r="B50" t="s">
        <v>84</v>
      </c>
      <c r="C50" s="31">
        <v>1.4999999999999999E-2</v>
      </c>
      <c r="D50" s="28">
        <f t="shared" si="0"/>
        <v>29.01</v>
      </c>
    </row>
    <row r="51" spans="1:8">
      <c r="A51" s="21" t="s">
        <v>53</v>
      </c>
      <c r="B51" t="s">
        <v>85</v>
      </c>
      <c r="C51" s="31">
        <v>0.01</v>
      </c>
      <c r="D51" s="28">
        <f t="shared" si="0"/>
        <v>19.34</v>
      </c>
    </row>
    <row r="52" spans="1:8">
      <c r="A52" s="21" t="s">
        <v>55</v>
      </c>
      <c r="B52" t="s">
        <v>86</v>
      </c>
      <c r="C52" s="31">
        <v>6.0000000000000001E-3</v>
      </c>
      <c r="D52" s="28">
        <f t="shared" si="0"/>
        <v>11.6</v>
      </c>
    </row>
    <row r="53" spans="1:8">
      <c r="A53" s="21" t="s">
        <v>87</v>
      </c>
      <c r="B53" t="s">
        <v>88</v>
      </c>
      <c r="C53" s="31">
        <v>2E-3</v>
      </c>
      <c r="D53" s="28">
        <f t="shared" si="0"/>
        <v>3.86</v>
      </c>
    </row>
    <row r="54" spans="1:8">
      <c r="A54" s="21" t="s">
        <v>89</v>
      </c>
      <c r="B54" t="s">
        <v>90</v>
      </c>
      <c r="C54" s="31">
        <v>0.08</v>
      </c>
      <c r="D54" s="28">
        <f t="shared" si="0"/>
        <v>154.76</v>
      </c>
    </row>
    <row r="55" spans="1:8">
      <c r="A55" s="21" t="s">
        <v>58</v>
      </c>
      <c r="C55" s="37">
        <f>SUM(C47:C54)</f>
        <v>0.36800000000000005</v>
      </c>
      <c r="D55" s="28">
        <f>TRUNC((SUM(D47:D54)),2)</f>
        <v>711.88</v>
      </c>
    </row>
    <row r="56" spans="1:8">
      <c r="A56" s="21"/>
      <c r="C56" s="37"/>
      <c r="D56" s="28"/>
    </row>
    <row r="57" spans="1:8">
      <c r="A57" s="184" t="s">
        <v>95</v>
      </c>
      <c r="B57" s="186"/>
      <c r="C57" s="186"/>
      <c r="D57" s="186"/>
    </row>
    <row r="58" spans="1:8">
      <c r="A58" s="21" t="s">
        <v>96</v>
      </c>
      <c r="B58" s="2" t="s">
        <v>97</v>
      </c>
      <c r="C58" s="22" t="s">
        <v>18</v>
      </c>
      <c r="D58" s="22" t="s">
        <v>19</v>
      </c>
    </row>
    <row r="59" spans="1:8">
      <c r="A59" s="21" t="s">
        <v>42</v>
      </c>
      <c r="B59" t="s">
        <v>98</v>
      </c>
      <c r="C59" s="23"/>
      <c r="D59" s="39">
        <v>0</v>
      </c>
    </row>
    <row r="60" spans="1:8">
      <c r="A60" s="21" t="s">
        <v>45</v>
      </c>
      <c r="B60" t="s">
        <v>99</v>
      </c>
      <c r="C60" s="23" t="str">
        <f>C9</f>
        <v>CCT PB000517/2021</v>
      </c>
      <c r="D60" s="24">
        <f>TRUNC((((22*20.91))-(((22*20.91))*0.2)),2)</f>
        <v>368.01</v>
      </c>
    </row>
    <row r="61" spans="1:8">
      <c r="A61" s="21" t="s">
        <v>48</v>
      </c>
      <c r="B61" t="s">
        <v>100</v>
      </c>
      <c r="C61" s="23"/>
      <c r="D61" s="24">
        <v>0</v>
      </c>
    </row>
    <row r="62" spans="1:8">
      <c r="A62" s="21" t="s">
        <v>50</v>
      </c>
      <c r="B62" s="40" t="s">
        <v>206</v>
      </c>
      <c r="C62" s="41"/>
      <c r="D62" s="41">
        <v>0</v>
      </c>
      <c r="H62" s="40"/>
    </row>
    <row r="63" spans="1:8">
      <c r="A63" s="21" t="s">
        <v>53</v>
      </c>
      <c r="B63" s="2" t="s">
        <v>207</v>
      </c>
      <c r="C63" s="23" t="str">
        <f>C60</f>
        <v>CCT PB000517/2021</v>
      </c>
      <c r="D63" s="24">
        <v>20</v>
      </c>
    </row>
    <row r="64" spans="1:8">
      <c r="A64" s="21" t="s">
        <v>55</v>
      </c>
      <c r="B64" s="42" t="s">
        <v>208</v>
      </c>
      <c r="C64" s="23" t="str">
        <f>C9</f>
        <v>CCT PB000517/2021</v>
      </c>
      <c r="D64" s="24">
        <v>5</v>
      </c>
    </row>
    <row r="65" spans="1:4">
      <c r="A65" s="21" t="s">
        <v>87</v>
      </c>
      <c r="B65" s="42" t="s">
        <v>209</v>
      </c>
      <c r="C65" s="41" t="str">
        <f>C60</f>
        <v>CCT PB000517/2021</v>
      </c>
      <c r="D65" s="24">
        <v>40</v>
      </c>
    </row>
    <row r="66" spans="1:4">
      <c r="A66" s="21" t="s">
        <v>58</v>
      </c>
      <c r="D66" s="28">
        <f>TRUNC((SUM(D59:D65)),2)</f>
        <v>433.01</v>
      </c>
    </row>
    <row r="67" spans="1:4">
      <c r="A67" s="21"/>
      <c r="D67" s="28"/>
    </row>
    <row r="68" spans="1:4">
      <c r="A68" s="184" t="s">
        <v>105</v>
      </c>
      <c r="B68" s="186"/>
      <c r="C68" s="186"/>
      <c r="D68" s="186"/>
    </row>
    <row r="69" spans="1:4">
      <c r="A69" s="21" t="s">
        <v>106</v>
      </c>
      <c r="B69" s="2" t="s">
        <v>107</v>
      </c>
      <c r="C69" s="22" t="s">
        <v>18</v>
      </c>
      <c r="D69" s="22" t="s">
        <v>19</v>
      </c>
    </row>
    <row r="70" spans="1:4">
      <c r="A70" s="21" t="s">
        <v>65</v>
      </c>
      <c r="B70" t="s">
        <v>66</v>
      </c>
      <c r="C70" s="22"/>
      <c r="D70" s="28">
        <f>D39</f>
        <v>314.93</v>
      </c>
    </row>
    <row r="71" spans="1:4">
      <c r="A71" s="21" t="s">
        <v>78</v>
      </c>
      <c r="B71" t="s">
        <v>79</v>
      </c>
      <c r="C71" s="22"/>
      <c r="D71" s="28">
        <f>D55</f>
        <v>711.88</v>
      </c>
    </row>
    <row r="72" spans="1:4">
      <c r="A72" s="21" t="s">
        <v>96</v>
      </c>
      <c r="B72" t="s">
        <v>97</v>
      </c>
      <c r="C72" s="22"/>
      <c r="D72" s="28">
        <f>D66</f>
        <v>433.01</v>
      </c>
    </row>
    <row r="73" spans="1:4">
      <c r="A73" s="21" t="s">
        <v>58</v>
      </c>
      <c r="C73" s="22"/>
      <c r="D73" s="28">
        <f>TRUNC((SUM(D70:D72)),2)</f>
        <v>1459.82</v>
      </c>
    </row>
    <row r="75" spans="1:4">
      <c r="A75" s="190" t="s">
        <v>108</v>
      </c>
      <c r="B75" s="183"/>
      <c r="C75" s="183"/>
      <c r="D75" s="183"/>
    </row>
    <row r="76" spans="1:4">
      <c r="A76" s="21" t="s">
        <v>109</v>
      </c>
      <c r="B76" s="74" t="s">
        <v>110</v>
      </c>
      <c r="C76" s="22" t="s">
        <v>38</v>
      </c>
      <c r="D76" s="22" t="s">
        <v>19</v>
      </c>
    </row>
    <row r="77" spans="1:4">
      <c r="A77" s="21" t="s">
        <v>42</v>
      </c>
      <c r="B77" s="75" t="s">
        <v>111</v>
      </c>
      <c r="C77" s="38">
        <f>((1/12)*2%)</f>
        <v>1.6666666666666666E-3</v>
      </c>
      <c r="D77" s="24">
        <f t="shared" ref="D77:D80" si="1">TRUNC(($D$31*C77),2)</f>
        <v>2.69</v>
      </c>
    </row>
    <row r="78" spans="1:4">
      <c r="A78" s="21" t="s">
        <v>45</v>
      </c>
      <c r="B78" s="75" t="s">
        <v>112</v>
      </c>
      <c r="C78" s="43">
        <v>0.08</v>
      </c>
      <c r="D78" s="28">
        <f>TRUNC(($D$77*C78),2)</f>
        <v>0.21</v>
      </c>
    </row>
    <row r="79" spans="1:4" ht="30">
      <c r="A79" s="21" t="s">
        <v>48</v>
      </c>
      <c r="B79" s="76" t="s">
        <v>113</v>
      </c>
      <c r="C79" s="45">
        <f>(0.08*0.4*0.02)</f>
        <v>6.4000000000000005E-4</v>
      </c>
      <c r="D79" s="41">
        <f t="shared" si="1"/>
        <v>1.03</v>
      </c>
    </row>
    <row r="80" spans="1:4">
      <c r="A80" s="21" t="s">
        <v>50</v>
      </c>
      <c r="B80" s="75" t="s">
        <v>114</v>
      </c>
      <c r="C80" s="43">
        <f>(((7/30)/12)*0.98)</f>
        <v>1.9055555555555555E-2</v>
      </c>
      <c r="D80" s="28">
        <f t="shared" si="1"/>
        <v>30.86</v>
      </c>
    </row>
    <row r="81" spans="1:4" ht="30">
      <c r="A81" s="21" t="s">
        <v>53</v>
      </c>
      <c r="B81" s="76" t="s">
        <v>210</v>
      </c>
      <c r="C81" s="45">
        <f>C55</f>
        <v>0.36800000000000005</v>
      </c>
      <c r="D81" s="41">
        <f>TRUNC(($D$80*C81),2)</f>
        <v>11.35</v>
      </c>
    </row>
    <row r="82" spans="1:4" ht="30">
      <c r="A82" s="21" t="s">
        <v>55</v>
      </c>
      <c r="B82" s="76" t="s">
        <v>115</v>
      </c>
      <c r="C82" s="45">
        <f>(0.08*0.4*0.98)</f>
        <v>3.1359999999999999E-2</v>
      </c>
      <c r="D82" s="41">
        <f>TRUNC(($D$31*C82),2)</f>
        <v>50.79</v>
      </c>
    </row>
    <row r="83" spans="1:4">
      <c r="A83" s="21" t="s">
        <v>58</v>
      </c>
      <c r="C83" s="43">
        <f>SUM(C77:C82)</f>
        <v>0.50072222222222229</v>
      </c>
      <c r="D83" s="28">
        <f>TRUNC((SUM(D77:D82)),2)</f>
        <v>96.93</v>
      </c>
    </row>
    <row r="84" spans="1:4">
      <c r="A84" s="21"/>
      <c r="D84" s="28"/>
    </row>
    <row r="85" spans="1:4">
      <c r="A85" s="192" t="s">
        <v>211</v>
      </c>
      <c r="B85" s="192"/>
      <c r="C85" s="33" t="s">
        <v>202</v>
      </c>
      <c r="D85" s="34">
        <f>D31</f>
        <v>1619.68</v>
      </c>
    </row>
    <row r="86" spans="1:4">
      <c r="A86" s="192"/>
      <c r="B86" s="192"/>
      <c r="C86" s="35" t="s">
        <v>212</v>
      </c>
      <c r="D86" s="34">
        <f>D73</f>
        <v>1459.82</v>
      </c>
    </row>
    <row r="87" spans="1:4">
      <c r="A87" s="192"/>
      <c r="B87" s="192"/>
      <c r="C87" s="33" t="s">
        <v>213</v>
      </c>
      <c r="D87" s="34">
        <f>D83</f>
        <v>96.93</v>
      </c>
    </row>
    <row r="88" spans="1:4">
      <c r="A88" s="192"/>
      <c r="B88" s="192"/>
      <c r="C88" s="35" t="s">
        <v>204</v>
      </c>
      <c r="D88" s="36">
        <f>TRUNC((SUM(D85:D87)),2)</f>
        <v>3176.43</v>
      </c>
    </row>
    <row r="89" spans="1:4">
      <c r="A89" s="21"/>
      <c r="D89" s="28"/>
    </row>
    <row r="90" spans="1:4">
      <c r="A90" s="198" t="s">
        <v>127</v>
      </c>
      <c r="B90" s="185"/>
      <c r="C90" s="185"/>
      <c r="D90" s="185"/>
    </row>
    <row r="91" spans="1:4">
      <c r="A91" s="184" t="s">
        <v>128</v>
      </c>
      <c r="B91" s="186"/>
      <c r="C91" s="186"/>
      <c r="D91" s="186"/>
    </row>
    <row r="92" spans="1:4">
      <c r="A92" s="21" t="s">
        <v>129</v>
      </c>
      <c r="B92" s="2" t="s">
        <v>130</v>
      </c>
      <c r="C92" s="22" t="s">
        <v>38</v>
      </c>
      <c r="D92" s="22" t="s">
        <v>19</v>
      </c>
    </row>
    <row r="93" spans="1:4">
      <c r="A93" s="21" t="s">
        <v>42</v>
      </c>
      <c r="B93" t="s">
        <v>132</v>
      </c>
      <c r="C93" s="43">
        <f>(((1+1/3)/12)/12)+((1/12)/12)</f>
        <v>1.6203703703703703E-2</v>
      </c>
      <c r="D93" s="28">
        <f t="shared" ref="D93:D97" si="2">TRUNC(($D$88*C93),2)</f>
        <v>51.46</v>
      </c>
    </row>
    <row r="94" spans="1:4">
      <c r="A94" s="21" t="s">
        <v>45</v>
      </c>
      <c r="B94" t="s">
        <v>133</v>
      </c>
      <c r="C94" s="38">
        <f>((5/30)/12)</f>
        <v>1.3888888888888888E-2</v>
      </c>
      <c r="D94" s="41">
        <f t="shared" si="2"/>
        <v>44.11</v>
      </c>
    </row>
    <row r="95" spans="1:4">
      <c r="A95" s="21" t="s">
        <v>48</v>
      </c>
      <c r="B95" t="s">
        <v>134</v>
      </c>
      <c r="C95" s="38">
        <f>((5/30)/12)*0.02</f>
        <v>2.7777777777777778E-4</v>
      </c>
      <c r="D95" s="41">
        <f t="shared" si="2"/>
        <v>0.88</v>
      </c>
    </row>
    <row r="96" spans="1:4" ht="30">
      <c r="A96" s="21" t="s">
        <v>50</v>
      </c>
      <c r="B96" s="44" t="s">
        <v>135</v>
      </c>
      <c r="C96" s="45">
        <f>((15/30)/12)*0.08</f>
        <v>3.3333333333333331E-3</v>
      </c>
      <c r="D96" s="41">
        <f t="shared" si="2"/>
        <v>10.58</v>
      </c>
    </row>
    <row r="97" spans="1:4">
      <c r="A97" s="21" t="s">
        <v>53</v>
      </c>
      <c r="B97" t="s">
        <v>136</v>
      </c>
      <c r="C97" s="38">
        <f>((1+1/3)/12)*0.00001*((4/12))</f>
        <v>3.7037037037037031E-7</v>
      </c>
      <c r="D97" s="41">
        <f t="shared" si="2"/>
        <v>0</v>
      </c>
    </row>
    <row r="98" spans="1:4" ht="30">
      <c r="A98" s="21" t="s">
        <v>55</v>
      </c>
      <c r="B98" s="44" t="s">
        <v>214</v>
      </c>
      <c r="C98" s="46">
        <v>0</v>
      </c>
      <c r="D98" s="41">
        <f>TRUNC($D$88*C98)</f>
        <v>0</v>
      </c>
    </row>
    <row r="99" spans="1:4">
      <c r="A99" s="21" t="s">
        <v>58</v>
      </c>
      <c r="C99" s="43">
        <f>SUBTOTAL(109,Submódulo4.159_67[Percentual])</f>
        <v>3.3704074074074074E-2</v>
      </c>
      <c r="D99" s="28">
        <f>TRUNC((SUM(D93:D98)),2)</f>
        <v>107.03</v>
      </c>
    </row>
    <row r="100" spans="1:4">
      <c r="A100" s="21"/>
      <c r="C100" s="22"/>
      <c r="D100" s="28"/>
    </row>
    <row r="101" spans="1:4">
      <c r="A101" s="184" t="s">
        <v>144</v>
      </c>
      <c r="B101" s="186"/>
      <c r="C101" s="186"/>
      <c r="D101" s="186"/>
    </row>
    <row r="102" spans="1:4">
      <c r="A102" s="21" t="s">
        <v>145</v>
      </c>
      <c r="B102" s="2" t="s">
        <v>146</v>
      </c>
      <c r="C102" s="22" t="s">
        <v>18</v>
      </c>
      <c r="D102" s="22" t="s">
        <v>19</v>
      </c>
    </row>
    <row r="103" spans="1:4" ht="90">
      <c r="A103" s="21" t="s">
        <v>42</v>
      </c>
      <c r="B103" s="47" t="s">
        <v>147</v>
      </c>
      <c r="C103" s="48" t="s">
        <v>215</v>
      </c>
      <c r="D103" s="49" t="s">
        <v>216</v>
      </c>
    </row>
    <row r="104" spans="1:4">
      <c r="A104" s="21" t="s">
        <v>58</v>
      </c>
      <c r="C104" s="22"/>
      <c r="D104" s="51" t="str">
        <f>D103</f>
        <v>*=TRUNCAR(($D$86/220)*(1*(365/12))/2)</v>
      </c>
    </row>
    <row r="106" spans="1:4">
      <c r="A106" s="184" t="s">
        <v>148</v>
      </c>
      <c r="B106" s="186"/>
      <c r="C106" s="186"/>
      <c r="D106" s="186"/>
    </row>
    <row r="107" spans="1:4">
      <c r="A107" s="21" t="s">
        <v>149</v>
      </c>
      <c r="B107" s="2" t="s">
        <v>150</v>
      </c>
      <c r="C107" s="22" t="s">
        <v>18</v>
      </c>
      <c r="D107" s="22" t="s">
        <v>19</v>
      </c>
    </row>
    <row r="108" spans="1:4">
      <c r="A108" s="21" t="s">
        <v>129</v>
      </c>
      <c r="B108" t="s">
        <v>130</v>
      </c>
      <c r="D108" s="24">
        <f>D99</f>
        <v>107.03</v>
      </c>
    </row>
    <row r="109" spans="1:4">
      <c r="A109" s="21" t="s">
        <v>145</v>
      </c>
      <c r="B109" t="s">
        <v>151</v>
      </c>
      <c r="C109" s="2"/>
      <c r="D109" s="52" t="str">
        <f>Submódulo4.260_71[[#Totals],[Valor]]</f>
        <v>*=TRUNCAR(($D$86/220)*(1*(365/12))/2)</v>
      </c>
    </row>
    <row r="110" spans="1:4" ht="60">
      <c r="A110" s="21" t="s">
        <v>58</v>
      </c>
      <c r="B110" s="40"/>
      <c r="C110" s="48" t="s">
        <v>217</v>
      </c>
      <c r="D110" s="53">
        <f>TRUNC((SUM(D108:D109)),2)</f>
        <v>107.03</v>
      </c>
    </row>
    <row r="112" spans="1:4">
      <c r="A112" s="190" t="s">
        <v>152</v>
      </c>
      <c r="B112" s="183"/>
      <c r="C112" s="183"/>
      <c r="D112" s="183"/>
    </row>
    <row r="113" spans="1:11" ht="30">
      <c r="A113" s="21" t="s">
        <v>153</v>
      </c>
      <c r="B113" s="2" t="s">
        <v>154</v>
      </c>
      <c r="C113" s="22" t="s">
        <v>18</v>
      </c>
      <c r="D113" s="22" t="s">
        <v>19</v>
      </c>
      <c r="H113" s="54" t="s">
        <v>218</v>
      </c>
      <c r="I113" s="55" t="s">
        <v>219</v>
      </c>
      <c r="J113" s="55" t="s">
        <v>220</v>
      </c>
      <c r="K113" s="55" t="s">
        <v>221</v>
      </c>
    </row>
    <row r="114" spans="1:11">
      <c r="A114" s="21" t="s">
        <v>42</v>
      </c>
      <c r="B114" t="s">
        <v>222</v>
      </c>
      <c r="D114" s="56">
        <f>F114</f>
        <v>0</v>
      </c>
      <c r="F114" cm="1">
        <f t="array" ref="F114:G114">'Uniformes e EPI'!G62:H62</f>
        <v>0</v>
      </c>
      <c r="G114">
        <v>0</v>
      </c>
      <c r="H114" s="57" t="s">
        <v>223</v>
      </c>
      <c r="I114" s="58">
        <v>0</v>
      </c>
      <c r="J114" s="59">
        <v>70</v>
      </c>
      <c r="K114" s="59">
        <f>TRUNC(J114*I114,2)</f>
        <v>0</v>
      </c>
    </row>
    <row r="115" spans="1:11">
      <c r="A115" s="21" t="s">
        <v>45</v>
      </c>
      <c r="B115" t="s">
        <v>224</v>
      </c>
      <c r="D115" s="56">
        <v>0</v>
      </c>
      <c r="H115" s="60" t="s">
        <v>225</v>
      </c>
      <c r="I115" s="61">
        <v>0</v>
      </c>
      <c r="J115" s="62">
        <v>35</v>
      </c>
      <c r="K115" s="59">
        <f>TRUNC(J115*I115,2)</f>
        <v>0</v>
      </c>
    </row>
    <row r="116" spans="1:11">
      <c r="A116" s="21" t="s">
        <v>48</v>
      </c>
      <c r="B116" t="s">
        <v>156</v>
      </c>
      <c r="D116" s="56">
        <v>0</v>
      </c>
      <c r="H116" s="194" t="s">
        <v>204</v>
      </c>
      <c r="I116" s="195"/>
      <c r="J116" s="196">
        <f>TRUNC(SUM(K114:K115),2)</f>
        <v>0</v>
      </c>
      <c r="K116" s="197"/>
    </row>
    <row r="117" spans="1:11">
      <c r="A117" s="21" t="s">
        <v>50</v>
      </c>
      <c r="B117" t="s">
        <v>157</v>
      </c>
      <c r="D117" s="56">
        <v>0</v>
      </c>
      <c r="H117" s="194" t="s">
        <v>226</v>
      </c>
      <c r="I117" s="195"/>
      <c r="J117" s="196">
        <f>TRUNC(J116/12,2)</f>
        <v>0</v>
      </c>
      <c r="K117" s="197"/>
    </row>
    <row r="118" spans="1:11">
      <c r="A118" s="21" t="s">
        <v>53</v>
      </c>
      <c r="B118" t="s">
        <v>227</v>
      </c>
      <c r="D118" s="56">
        <v>0</v>
      </c>
      <c r="H118" s="193" t="s">
        <v>228</v>
      </c>
      <c r="I118" s="193"/>
      <c r="J118" s="193"/>
      <c r="K118" s="193"/>
    </row>
    <row r="119" spans="1:11">
      <c r="A119" s="21" t="s">
        <v>58</v>
      </c>
      <c r="D119" s="63">
        <f>TRUNC(SUM(D114:D118),2)</f>
        <v>0</v>
      </c>
      <c r="H119" s="193"/>
      <c r="I119" s="193"/>
      <c r="J119" s="193"/>
      <c r="K119" s="193"/>
    </row>
    <row r="121" spans="1:11">
      <c r="A121" s="192" t="s">
        <v>229</v>
      </c>
      <c r="B121" s="192"/>
      <c r="C121" s="33" t="s">
        <v>202</v>
      </c>
      <c r="D121" s="34">
        <f>D31</f>
        <v>1619.68</v>
      </c>
    </row>
    <row r="122" spans="1:11">
      <c r="A122" s="192"/>
      <c r="B122" s="192"/>
      <c r="C122" s="35" t="s">
        <v>212</v>
      </c>
      <c r="D122" s="34">
        <f>D73</f>
        <v>1459.82</v>
      </c>
    </row>
    <row r="123" spans="1:11">
      <c r="A123" s="192"/>
      <c r="B123" s="192"/>
      <c r="C123" s="33" t="s">
        <v>213</v>
      </c>
      <c r="D123" s="34">
        <f>D83</f>
        <v>96.93</v>
      </c>
    </row>
    <row r="124" spans="1:11">
      <c r="A124" s="192"/>
      <c r="B124" s="192"/>
      <c r="C124" s="35" t="s">
        <v>230</v>
      </c>
      <c r="D124" s="34">
        <f>D110</f>
        <v>107.03</v>
      </c>
    </row>
    <row r="125" spans="1:11">
      <c r="A125" s="192"/>
      <c r="B125" s="192"/>
      <c r="C125" s="33" t="s">
        <v>231</v>
      </c>
      <c r="D125" s="34">
        <f>D119</f>
        <v>0</v>
      </c>
    </row>
    <row r="126" spans="1:11">
      <c r="A126" s="192"/>
      <c r="B126" s="192"/>
      <c r="C126" s="35" t="s">
        <v>204</v>
      </c>
      <c r="D126" s="36">
        <f>TRUNC((SUM(D121:D125)),2)</f>
        <v>3283.46</v>
      </c>
    </row>
    <row r="128" spans="1:11">
      <c r="A128" s="190" t="s">
        <v>164</v>
      </c>
      <c r="B128" s="183"/>
      <c r="C128" s="183"/>
      <c r="D128" s="183"/>
    </row>
    <row r="129" spans="1:9">
      <c r="A129" s="21" t="s">
        <v>165</v>
      </c>
      <c r="B129" t="s">
        <v>166</v>
      </c>
      <c r="C129" s="22" t="s">
        <v>38</v>
      </c>
      <c r="D129" s="22" t="s">
        <v>19</v>
      </c>
      <c r="H129" s="191" t="s">
        <v>232</v>
      </c>
      <c r="I129" s="191"/>
    </row>
    <row r="130" spans="1:9">
      <c r="A130" s="21" t="s">
        <v>42</v>
      </c>
      <c r="B130" t="s">
        <v>167</v>
      </c>
      <c r="C130" s="38">
        <v>0</v>
      </c>
      <c r="D130" s="24">
        <f>TRUNC(($D$126*C130),2)</f>
        <v>0</v>
      </c>
      <c r="H130" s="57" t="s">
        <v>233</v>
      </c>
      <c r="I130" s="45">
        <f>C132</f>
        <v>8.6499999999999994E-2</v>
      </c>
    </row>
    <row r="131" spans="1:9">
      <c r="A131" s="21" t="s">
        <v>45</v>
      </c>
      <c r="B131" t="s">
        <v>59</v>
      </c>
      <c r="C131" s="38">
        <v>0</v>
      </c>
      <c r="D131" s="24">
        <f>TRUNC((C131*(D126+D130)),2)</f>
        <v>0</v>
      </c>
      <c r="H131" s="64" t="s">
        <v>234</v>
      </c>
      <c r="I131" s="73">
        <f>TRUNC(SUM(D126,D130,D131),2)</f>
        <v>3283.46</v>
      </c>
    </row>
    <row r="132" spans="1:9">
      <c r="A132" s="21" t="s">
        <v>48</v>
      </c>
      <c r="B132" t="s">
        <v>168</v>
      </c>
      <c r="C132" s="38">
        <f>SUM(C133:C135)</f>
        <v>8.6499999999999994E-2</v>
      </c>
      <c r="D132" s="24">
        <f>TRUNC((SUM(D133:D135)),2)</f>
        <v>310.89999999999998</v>
      </c>
      <c r="H132" s="57" t="s">
        <v>235</v>
      </c>
      <c r="I132" s="66">
        <f>(100-8.65)/100</f>
        <v>0.91349999999999998</v>
      </c>
    </row>
    <row r="133" spans="1:9">
      <c r="A133" s="21"/>
      <c r="B133" t="s">
        <v>236</v>
      </c>
      <c r="C133" s="38">
        <v>6.4999999999999997E-3</v>
      </c>
      <c r="D133" s="24">
        <f t="shared" ref="D133:D135" si="3">TRUNC(($I$133*C133),2)</f>
        <v>23.36</v>
      </c>
      <c r="H133" s="64" t="s">
        <v>232</v>
      </c>
      <c r="I133" s="73">
        <f>TRUNC((I131/I132),2)</f>
        <v>3594.37</v>
      </c>
    </row>
    <row r="134" spans="1:9">
      <c r="A134" s="21"/>
      <c r="B134" t="s">
        <v>237</v>
      </c>
      <c r="C134" s="38">
        <v>0.03</v>
      </c>
      <c r="D134" s="24">
        <f t="shared" si="3"/>
        <v>107.83</v>
      </c>
    </row>
    <row r="135" spans="1:9">
      <c r="A135" s="21"/>
      <c r="B135" t="s">
        <v>238</v>
      </c>
      <c r="C135" s="38">
        <v>0.05</v>
      </c>
      <c r="D135" s="24">
        <f t="shared" si="3"/>
        <v>179.71</v>
      </c>
    </row>
    <row r="136" spans="1:9">
      <c r="A136" s="21" t="s">
        <v>58</v>
      </c>
      <c r="C136" s="67"/>
      <c r="D136" s="28">
        <f>TRUNC(SUM(D130:D132),2)</f>
        <v>310.89999999999998</v>
      </c>
    </row>
    <row r="137" spans="1:9">
      <c r="A137" s="21"/>
      <c r="C137" s="67"/>
      <c r="D137" s="28"/>
    </row>
    <row r="139" spans="1:9">
      <c r="A139" s="190" t="s">
        <v>172</v>
      </c>
      <c r="B139" s="183"/>
      <c r="C139" s="183"/>
      <c r="D139" s="183"/>
    </row>
    <row r="140" spans="1:9">
      <c r="A140" s="21" t="s">
        <v>16</v>
      </c>
      <c r="B140" s="22" t="s">
        <v>173</v>
      </c>
      <c r="C140" s="22" t="s">
        <v>102</v>
      </c>
      <c r="D140" s="22" t="s">
        <v>19</v>
      </c>
    </row>
    <row r="141" spans="1:9">
      <c r="A141" s="21" t="s">
        <v>42</v>
      </c>
      <c r="B141" t="s">
        <v>36</v>
      </c>
      <c r="D141" s="28">
        <f>D31</f>
        <v>1619.68</v>
      </c>
    </row>
    <row r="142" spans="1:9">
      <c r="A142" s="21" t="s">
        <v>45</v>
      </c>
      <c r="B142" t="s">
        <v>61</v>
      </c>
      <c r="D142" s="28">
        <f>D73</f>
        <v>1459.82</v>
      </c>
    </row>
    <row r="143" spans="1:9">
      <c r="A143" s="21" t="s">
        <v>48</v>
      </c>
      <c r="B143" t="s">
        <v>108</v>
      </c>
      <c r="D143" s="28">
        <f>D83</f>
        <v>96.93</v>
      </c>
    </row>
    <row r="144" spans="1:9">
      <c r="A144" s="21" t="s">
        <v>50</v>
      </c>
      <c r="B144" t="s">
        <v>174</v>
      </c>
      <c r="D144" s="28">
        <f>D110</f>
        <v>107.03</v>
      </c>
    </row>
    <row r="145" spans="1:4">
      <c r="A145" s="21" t="s">
        <v>53</v>
      </c>
      <c r="B145" t="s">
        <v>152</v>
      </c>
      <c r="D145" s="28">
        <f>D119</f>
        <v>0</v>
      </c>
    </row>
    <row r="146" spans="1:4">
      <c r="B146" s="68" t="s">
        <v>239</v>
      </c>
      <c r="D146" s="28">
        <f>TRUNC(SUM(D141:D145),2)</f>
        <v>3283.46</v>
      </c>
    </row>
    <row r="147" spans="1:4">
      <c r="A147" s="21" t="s">
        <v>55</v>
      </c>
      <c r="B147" t="s">
        <v>164</v>
      </c>
      <c r="D147" s="28">
        <f>D136</f>
        <v>310.89999999999998</v>
      </c>
    </row>
    <row r="148" spans="1:4">
      <c r="A148" s="69"/>
      <c r="B148" s="70" t="s">
        <v>240</v>
      </c>
      <c r="C148" s="71"/>
      <c r="D148" s="72">
        <f>TRUNC((SUM(D141:D145)+D147),2)</f>
        <v>3594.36</v>
      </c>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A91:D91"/>
    <mergeCell ref="A101:D101"/>
    <mergeCell ref="H31:I31"/>
    <mergeCell ref="A33:D33"/>
    <mergeCell ref="A35:D35"/>
    <mergeCell ref="A45:D45"/>
    <mergeCell ref="A57:D57"/>
    <mergeCell ref="A128:D128"/>
    <mergeCell ref="H129:I129"/>
    <mergeCell ref="A139:D139"/>
    <mergeCell ref="A41:B43"/>
    <mergeCell ref="A85:B88"/>
    <mergeCell ref="A121:B126"/>
    <mergeCell ref="H118:K119"/>
    <mergeCell ref="A106:D106"/>
    <mergeCell ref="A112:D112"/>
    <mergeCell ref="H116:I116"/>
    <mergeCell ref="J116:K116"/>
    <mergeCell ref="H117:I117"/>
    <mergeCell ref="J117:K117"/>
    <mergeCell ref="A68:D68"/>
    <mergeCell ref="A75:D75"/>
    <mergeCell ref="A90:D90"/>
  </mergeCells>
  <pageMargins left="0.25" right="0.25" top="0.75" bottom="0.75" header="0.3" footer="0.3"/>
  <pageSetup paperSize="9" scale="77" fitToHeight="0" orientation="portrait"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K148"/>
  <sheetViews>
    <sheetView workbookViewId="0">
      <selection activeCell="J10" sqref="J10"/>
    </sheetView>
  </sheetViews>
  <sheetFormatPr defaultColWidth="9.140625" defaultRowHeight="15"/>
  <cols>
    <col min="1" max="1" width="10.5703125" style="4" customWidth="1"/>
    <col min="2" max="2" width="51.28515625" customWidth="1"/>
    <col min="3" max="3" width="29.85546875" customWidth="1"/>
    <col min="4" max="4" width="41" customWidth="1"/>
    <col min="6" max="7" width="0" hidden="1" customWidth="1"/>
    <col min="8" max="8" width="22.85546875" customWidth="1"/>
    <col min="9" max="9" width="13.7109375" customWidth="1"/>
    <col min="10" max="10" width="11" customWidth="1"/>
    <col min="11" max="11" width="11.42578125" customWidth="1"/>
  </cols>
  <sheetData>
    <row r="2" spans="1:9" ht="18.75">
      <c r="A2" s="208" t="s">
        <v>177</v>
      </c>
      <c r="B2" s="209"/>
      <c r="C2" s="209"/>
      <c r="D2" s="209"/>
    </row>
    <row r="3" spans="1:9">
      <c r="A3" s="214" t="str">
        <f>Pedreiro!A3</f>
        <v>Processo Administrativo n.° 23324.000132.2023-89</v>
      </c>
      <c r="B3" s="215"/>
      <c r="C3" s="215"/>
      <c r="D3" s="215"/>
    </row>
    <row r="4" spans="1:9" ht="22.5" customHeight="1">
      <c r="A4" s="5" t="s">
        <v>178</v>
      </c>
      <c r="B4" s="111" t="s">
        <v>419</v>
      </c>
      <c r="C4" s="7"/>
      <c r="D4" s="7"/>
    </row>
    <row r="5" spans="1:9">
      <c r="A5" s="8"/>
      <c r="B5" s="9"/>
      <c r="C5" s="9"/>
      <c r="D5" s="9"/>
    </row>
    <row r="6" spans="1:9">
      <c r="A6" s="190" t="s">
        <v>179</v>
      </c>
      <c r="B6" s="183"/>
      <c r="C6" s="183"/>
      <c r="D6" s="183"/>
    </row>
    <row r="7" spans="1:9">
      <c r="A7" s="10" t="s">
        <v>42</v>
      </c>
      <c r="B7" s="11" t="s">
        <v>180</v>
      </c>
      <c r="C7" s="212" t="s">
        <v>302</v>
      </c>
      <c r="D7" s="213"/>
    </row>
    <row r="8" spans="1:9">
      <c r="A8" s="12" t="s">
        <v>45</v>
      </c>
      <c r="B8" s="13" t="s">
        <v>181</v>
      </c>
      <c r="C8" s="203" t="s">
        <v>182</v>
      </c>
      <c r="D8" s="203"/>
    </row>
    <row r="9" spans="1:9">
      <c r="A9" s="15" t="s">
        <v>48</v>
      </c>
      <c r="B9" s="16" t="s">
        <v>183</v>
      </c>
      <c r="C9" s="203" t="s">
        <v>184</v>
      </c>
      <c r="D9" s="203"/>
    </row>
    <row r="10" spans="1:9">
      <c r="A10" s="12" t="s">
        <v>53</v>
      </c>
      <c r="B10" s="13" t="s">
        <v>185</v>
      </c>
      <c r="C10" s="203" t="s">
        <v>186</v>
      </c>
      <c r="D10" s="203"/>
    </row>
    <row r="11" spans="1:9">
      <c r="A11" s="201" t="s">
        <v>187</v>
      </c>
      <c r="B11" s="202"/>
      <c r="C11" s="202"/>
      <c r="D11" s="202"/>
    </row>
    <row r="12" spans="1:9">
      <c r="A12" s="204" t="s">
        <v>188</v>
      </c>
      <c r="B12" s="205"/>
      <c r="C12" s="17" t="s">
        <v>189</v>
      </c>
      <c r="D12" s="18" t="s">
        <v>190</v>
      </c>
    </row>
    <row r="13" spans="1:9">
      <c r="A13" s="206" t="s">
        <v>305</v>
      </c>
      <c r="B13" s="207"/>
      <c r="C13" s="14" t="s">
        <v>192</v>
      </c>
      <c r="D13" s="19">
        <f>RESUMO!D7</f>
        <v>1</v>
      </c>
    </row>
    <row r="14" spans="1:9">
      <c r="A14" s="199"/>
      <c r="B14" s="200"/>
      <c r="C14" s="14"/>
      <c r="D14" s="20"/>
    </row>
    <row r="15" spans="1:9">
      <c r="A15" s="201" t="s">
        <v>14</v>
      </c>
      <c r="B15" s="202"/>
      <c r="C15" s="202"/>
      <c r="D15" s="202"/>
      <c r="H15" s="186"/>
      <c r="I15" s="186"/>
    </row>
    <row r="16" spans="1:9">
      <c r="A16" s="21" t="s">
        <v>16</v>
      </c>
      <c r="B16" t="s">
        <v>17</v>
      </c>
      <c r="C16" s="22" t="s">
        <v>18</v>
      </c>
      <c r="D16" s="22" t="s">
        <v>19</v>
      </c>
    </row>
    <row r="17" spans="1:9">
      <c r="A17" s="21">
        <v>1</v>
      </c>
      <c r="B17" t="s">
        <v>20</v>
      </c>
      <c r="C17" s="23" t="s">
        <v>102</v>
      </c>
      <c r="D17" s="23" t="str">
        <f>A13</f>
        <v>Piscineiro</v>
      </c>
    </row>
    <row r="18" spans="1:9">
      <c r="A18" s="21">
        <v>2</v>
      </c>
      <c r="B18" t="s">
        <v>23</v>
      </c>
      <c r="C18" s="23" t="s">
        <v>193</v>
      </c>
      <c r="D18" s="23" t="s">
        <v>304</v>
      </c>
    </row>
    <row r="19" spans="1:9">
      <c r="A19" s="21">
        <v>3</v>
      </c>
      <c r="B19" t="s">
        <v>26</v>
      </c>
      <c r="C19" s="23" t="str">
        <f>C9</f>
        <v>CCT PB000517/2021</v>
      </c>
      <c r="D19" s="24">
        <v>1320</v>
      </c>
    </row>
    <row r="20" spans="1:9">
      <c r="A20" s="21">
        <v>4</v>
      </c>
      <c r="B20" t="s">
        <v>29</v>
      </c>
      <c r="C20" s="23" t="str">
        <f>C9</f>
        <v>CCT PB000517/2021</v>
      </c>
      <c r="D20" s="25" t="s">
        <v>195</v>
      </c>
    </row>
    <row r="21" spans="1:9">
      <c r="A21" s="21">
        <v>5</v>
      </c>
      <c r="B21" t="s">
        <v>33</v>
      </c>
      <c r="C21" s="23" t="str">
        <f>C9</f>
        <v>CCT PB000517/2021</v>
      </c>
      <c r="D21" s="26" t="s">
        <v>196</v>
      </c>
    </row>
    <row r="22" spans="1:9">
      <c r="H22" s="186"/>
      <c r="I22" s="186"/>
    </row>
    <row r="23" spans="1:9">
      <c r="A23" s="190" t="s">
        <v>36</v>
      </c>
      <c r="B23" s="183"/>
      <c r="C23" s="183"/>
      <c r="D23" s="183"/>
    </row>
    <row r="24" spans="1:9">
      <c r="A24" s="21" t="s">
        <v>39</v>
      </c>
      <c r="B24" s="2" t="s">
        <v>40</v>
      </c>
      <c r="C24" s="22" t="s">
        <v>18</v>
      </c>
      <c r="D24" s="22" t="s">
        <v>19</v>
      </c>
      <c r="I24" s="27"/>
    </row>
    <row r="25" spans="1:9">
      <c r="A25" s="21" t="s">
        <v>42</v>
      </c>
      <c r="B25" t="s">
        <v>43</v>
      </c>
      <c r="C25" s="25" t="s">
        <v>197</v>
      </c>
      <c r="D25" s="24">
        <f>D19</f>
        <v>1320</v>
      </c>
      <c r="I25" s="27"/>
    </row>
    <row r="26" spans="1:9">
      <c r="A26" s="21" t="s">
        <v>45</v>
      </c>
      <c r="B26" t="s">
        <v>198</v>
      </c>
      <c r="C26" s="25"/>
      <c r="D26" s="24">
        <v>0</v>
      </c>
      <c r="I26" s="27"/>
    </row>
    <row r="27" spans="1:9">
      <c r="A27" s="21" t="s">
        <v>48</v>
      </c>
      <c r="B27" t="s">
        <v>199</v>
      </c>
      <c r="C27" s="25"/>
      <c r="D27" s="24">
        <v>0</v>
      </c>
    </row>
    <row r="28" spans="1:9">
      <c r="A28" s="21" t="s">
        <v>50</v>
      </c>
      <c r="B28" t="s">
        <v>51</v>
      </c>
      <c r="C28" s="25"/>
      <c r="D28" s="24">
        <v>0</v>
      </c>
    </row>
    <row r="29" spans="1:9">
      <c r="A29" s="21" t="s">
        <v>53</v>
      </c>
      <c r="B29" t="s">
        <v>54</v>
      </c>
      <c r="C29" s="25"/>
      <c r="D29" s="24">
        <v>0</v>
      </c>
    </row>
    <row r="30" spans="1:9">
      <c r="A30" s="21" t="s">
        <v>55</v>
      </c>
      <c r="B30" t="s">
        <v>56</v>
      </c>
      <c r="C30" s="25"/>
      <c r="D30" s="24">
        <v>0</v>
      </c>
    </row>
    <row r="31" spans="1:9">
      <c r="A31" s="21" t="s">
        <v>58</v>
      </c>
      <c r="C31" s="22"/>
      <c r="D31" s="28">
        <f>TRUNC(SUM(D25:D30),2)</f>
        <v>1320</v>
      </c>
      <c r="H31" s="186"/>
      <c r="I31" s="186"/>
    </row>
    <row r="32" spans="1:9">
      <c r="B32" s="29" t="s">
        <v>200</v>
      </c>
    </row>
    <row r="33" spans="1:9">
      <c r="A33" s="192" t="s">
        <v>61</v>
      </c>
      <c r="B33" s="187"/>
      <c r="C33" s="187"/>
      <c r="D33" s="187"/>
      <c r="I33" s="27"/>
    </row>
    <row r="35" spans="1:9">
      <c r="A35" s="184" t="s">
        <v>63</v>
      </c>
      <c r="B35" s="186"/>
      <c r="C35" s="186"/>
      <c r="D35" s="186"/>
    </row>
    <row r="36" spans="1:9">
      <c r="A36" s="21" t="s">
        <v>65</v>
      </c>
      <c r="B36" s="2" t="s">
        <v>66</v>
      </c>
      <c r="C36" s="22" t="s">
        <v>38</v>
      </c>
      <c r="D36" s="22" t="s">
        <v>19</v>
      </c>
    </row>
    <row r="37" spans="1:9">
      <c r="A37" s="21" t="s">
        <v>42</v>
      </c>
      <c r="B37" t="s">
        <v>67</v>
      </c>
      <c r="C37" s="31">
        <f>(1/12)</f>
        <v>8.3333333333333329E-2</v>
      </c>
      <c r="D37" s="28">
        <f>TRUNC($D$31*C37,2)</f>
        <v>110</v>
      </c>
      <c r="H37" s="32"/>
      <c r="I37" s="32"/>
    </row>
    <row r="38" spans="1:9">
      <c r="A38" s="21" t="s">
        <v>45</v>
      </c>
      <c r="B38" t="s">
        <v>68</v>
      </c>
      <c r="C38" s="31">
        <f>(((1+1/3)/12))</f>
        <v>0.1111111111111111</v>
      </c>
      <c r="D38" s="28">
        <f>TRUNC($D$31*C38,2)</f>
        <v>146.66</v>
      </c>
      <c r="H38" s="32"/>
      <c r="I38" s="32"/>
    </row>
    <row r="39" spans="1:9">
      <c r="A39" s="21" t="s">
        <v>58</v>
      </c>
      <c r="D39" s="28">
        <f>TRUNC((SUM(D37:D38)),2)</f>
        <v>256.66000000000003</v>
      </c>
      <c r="H39" s="32"/>
      <c r="I39" s="32"/>
    </row>
    <row r="40" spans="1:9">
      <c r="D40" s="28"/>
      <c r="H40" s="32"/>
      <c r="I40" s="32"/>
    </row>
    <row r="41" spans="1:9">
      <c r="A41" s="192" t="s">
        <v>201</v>
      </c>
      <c r="B41" s="192"/>
      <c r="C41" s="33" t="s">
        <v>202</v>
      </c>
      <c r="D41" s="34">
        <f>D31</f>
        <v>1320</v>
      </c>
      <c r="H41" s="32"/>
      <c r="I41" s="32"/>
    </row>
    <row r="42" spans="1:9">
      <c r="A42" s="192"/>
      <c r="B42" s="192"/>
      <c r="C42" s="35" t="s">
        <v>203</v>
      </c>
      <c r="D42" s="34">
        <f>D39</f>
        <v>256.66000000000003</v>
      </c>
      <c r="H42" s="32"/>
      <c r="I42" s="32"/>
    </row>
    <row r="43" spans="1:9">
      <c r="A43" s="192"/>
      <c r="B43" s="192"/>
      <c r="C43" s="33" t="s">
        <v>204</v>
      </c>
      <c r="D43" s="36">
        <f>TRUNC((SUM(D41:D42)),2)</f>
        <v>1576.66</v>
      </c>
      <c r="H43" s="32"/>
      <c r="I43" s="32"/>
    </row>
    <row r="44" spans="1:9">
      <c r="A44" s="21"/>
      <c r="C44" s="37"/>
      <c r="D44" s="28"/>
      <c r="H44" s="32"/>
      <c r="I44" s="32"/>
    </row>
    <row r="45" spans="1:9">
      <c r="A45" s="184" t="s">
        <v>77</v>
      </c>
      <c r="B45" s="186"/>
      <c r="C45" s="186"/>
      <c r="D45" s="186"/>
    </row>
    <row r="46" spans="1:9">
      <c r="A46" s="21" t="s">
        <v>78</v>
      </c>
      <c r="B46" s="2" t="s">
        <v>79</v>
      </c>
      <c r="C46" s="22" t="s">
        <v>38</v>
      </c>
      <c r="D46" s="22" t="s">
        <v>80</v>
      </c>
    </row>
    <row r="47" spans="1:9">
      <c r="A47" s="21" t="s">
        <v>42</v>
      </c>
      <c r="B47" t="s">
        <v>81</v>
      </c>
      <c r="C47" s="31">
        <v>0.2</v>
      </c>
      <c r="D47" s="28">
        <f t="shared" ref="D47:D54" si="0">TRUNC(($D$43*C47),2)</f>
        <v>315.33</v>
      </c>
    </row>
    <row r="48" spans="1:9">
      <c r="A48" s="21" t="s">
        <v>45</v>
      </c>
      <c r="B48" t="s">
        <v>82</v>
      </c>
      <c r="C48" s="31">
        <v>2.5000000000000001E-2</v>
      </c>
      <c r="D48" s="28">
        <f t="shared" si="0"/>
        <v>39.409999999999997</v>
      </c>
    </row>
    <row r="49" spans="1:8">
      <c r="A49" s="21" t="s">
        <v>48</v>
      </c>
      <c r="B49" t="s">
        <v>205</v>
      </c>
      <c r="C49" s="38">
        <v>0.03</v>
      </c>
      <c r="D49" s="24">
        <f t="shared" si="0"/>
        <v>47.29</v>
      </c>
    </row>
    <row r="50" spans="1:8">
      <c r="A50" s="21" t="s">
        <v>50</v>
      </c>
      <c r="B50" t="s">
        <v>84</v>
      </c>
      <c r="C50" s="31">
        <v>1.4999999999999999E-2</v>
      </c>
      <c r="D50" s="28">
        <f t="shared" si="0"/>
        <v>23.64</v>
      </c>
    </row>
    <row r="51" spans="1:8">
      <c r="A51" s="21" t="s">
        <v>53</v>
      </c>
      <c r="B51" t="s">
        <v>85</v>
      </c>
      <c r="C51" s="31">
        <v>0.01</v>
      </c>
      <c r="D51" s="28">
        <f t="shared" si="0"/>
        <v>15.76</v>
      </c>
    </row>
    <row r="52" spans="1:8">
      <c r="A52" s="21" t="s">
        <v>55</v>
      </c>
      <c r="B52" t="s">
        <v>86</v>
      </c>
      <c r="C52" s="31">
        <v>6.0000000000000001E-3</v>
      </c>
      <c r="D52" s="28">
        <f t="shared" si="0"/>
        <v>9.4499999999999993</v>
      </c>
    </row>
    <row r="53" spans="1:8">
      <c r="A53" s="21" t="s">
        <v>87</v>
      </c>
      <c r="B53" t="s">
        <v>88</v>
      </c>
      <c r="C53" s="31">
        <v>2E-3</v>
      </c>
      <c r="D53" s="28">
        <f t="shared" si="0"/>
        <v>3.15</v>
      </c>
    </row>
    <row r="54" spans="1:8">
      <c r="A54" s="21" t="s">
        <v>89</v>
      </c>
      <c r="B54" t="s">
        <v>90</v>
      </c>
      <c r="C54" s="31">
        <v>0.08</v>
      </c>
      <c r="D54" s="28">
        <f t="shared" si="0"/>
        <v>126.13</v>
      </c>
    </row>
    <row r="55" spans="1:8">
      <c r="A55" s="21" t="s">
        <v>58</v>
      </c>
      <c r="C55" s="37">
        <f>SUM(C47:C54)</f>
        <v>0.36800000000000005</v>
      </c>
      <c r="D55" s="28">
        <f>TRUNC((SUM(D47:D54)),2)</f>
        <v>580.16</v>
      </c>
    </row>
    <row r="56" spans="1:8">
      <c r="A56" s="21"/>
      <c r="C56" s="37"/>
      <c r="D56" s="28"/>
    </row>
    <row r="57" spans="1:8">
      <c r="A57" s="184" t="s">
        <v>95</v>
      </c>
      <c r="B57" s="186"/>
      <c r="C57" s="186"/>
      <c r="D57" s="186"/>
    </row>
    <row r="58" spans="1:8">
      <c r="A58" s="21" t="s">
        <v>96</v>
      </c>
      <c r="B58" s="2" t="s">
        <v>97</v>
      </c>
      <c r="C58" s="22" t="s">
        <v>18</v>
      </c>
      <c r="D58" s="22" t="s">
        <v>19</v>
      </c>
    </row>
    <row r="59" spans="1:8">
      <c r="A59" s="21" t="s">
        <v>42</v>
      </c>
      <c r="B59" t="s">
        <v>98</v>
      </c>
      <c r="C59" s="23"/>
      <c r="D59" s="39">
        <v>0</v>
      </c>
    </row>
    <row r="60" spans="1:8">
      <c r="A60" s="21" t="s">
        <v>45</v>
      </c>
      <c r="B60" t="s">
        <v>99</v>
      </c>
      <c r="C60" s="23" t="str">
        <f>C9</f>
        <v>CCT PB000517/2021</v>
      </c>
      <c r="D60" s="24">
        <f>TRUNC((((22*20.91))-(((22*20.91))*0.2)),2)</f>
        <v>368.01</v>
      </c>
    </row>
    <row r="61" spans="1:8">
      <c r="A61" s="21" t="s">
        <v>48</v>
      </c>
      <c r="B61" t="s">
        <v>100</v>
      </c>
      <c r="C61" s="23"/>
      <c r="D61" s="24">
        <v>0</v>
      </c>
    </row>
    <row r="62" spans="1:8">
      <c r="A62" s="21" t="s">
        <v>50</v>
      </c>
      <c r="B62" s="40" t="s">
        <v>206</v>
      </c>
      <c r="C62" s="41"/>
      <c r="D62" s="41">
        <v>0</v>
      </c>
      <c r="H62" s="40"/>
    </row>
    <row r="63" spans="1:8">
      <c r="A63" s="21" t="s">
        <v>53</v>
      </c>
      <c r="B63" s="2" t="s">
        <v>207</v>
      </c>
      <c r="C63" s="23" t="str">
        <f>C60</f>
        <v>CCT PB000517/2021</v>
      </c>
      <c r="D63" s="24">
        <v>20</v>
      </c>
    </row>
    <row r="64" spans="1:8">
      <c r="A64" s="21" t="s">
        <v>55</v>
      </c>
      <c r="B64" s="42" t="s">
        <v>208</v>
      </c>
      <c r="C64" s="23" t="str">
        <f>C9</f>
        <v>CCT PB000517/2021</v>
      </c>
      <c r="D64" s="24">
        <v>5</v>
      </c>
    </row>
    <row r="65" spans="1:4">
      <c r="A65" s="21" t="s">
        <v>87</v>
      </c>
      <c r="B65" s="42" t="s">
        <v>209</v>
      </c>
      <c r="C65" s="41" t="str">
        <f>C60</f>
        <v>CCT PB000517/2021</v>
      </c>
      <c r="D65" s="24">
        <v>40</v>
      </c>
    </row>
    <row r="66" spans="1:4">
      <c r="A66" s="21" t="s">
        <v>58</v>
      </c>
      <c r="D66" s="28">
        <f>TRUNC((SUM(D59:D65)),2)</f>
        <v>433.01</v>
      </c>
    </row>
    <row r="67" spans="1:4">
      <c r="A67" s="21"/>
      <c r="D67" s="28"/>
    </row>
    <row r="68" spans="1:4">
      <c r="A68" s="184" t="s">
        <v>105</v>
      </c>
      <c r="B68" s="186"/>
      <c r="C68" s="186"/>
      <c r="D68" s="186"/>
    </row>
    <row r="69" spans="1:4">
      <c r="A69" s="21" t="s">
        <v>106</v>
      </c>
      <c r="B69" s="2" t="s">
        <v>107</v>
      </c>
      <c r="C69" s="22" t="s">
        <v>18</v>
      </c>
      <c r="D69" s="22" t="s">
        <v>19</v>
      </c>
    </row>
    <row r="70" spans="1:4">
      <c r="A70" s="21" t="s">
        <v>65</v>
      </c>
      <c r="B70" t="s">
        <v>66</v>
      </c>
      <c r="C70" s="22"/>
      <c r="D70" s="28">
        <f>D39</f>
        <v>256.66000000000003</v>
      </c>
    </row>
    <row r="71" spans="1:4">
      <c r="A71" s="21" t="s">
        <v>78</v>
      </c>
      <c r="B71" t="s">
        <v>79</v>
      </c>
      <c r="C71" s="22"/>
      <c r="D71" s="28">
        <f>D55</f>
        <v>580.16</v>
      </c>
    </row>
    <row r="72" spans="1:4">
      <c r="A72" s="21" t="s">
        <v>96</v>
      </c>
      <c r="B72" t="s">
        <v>97</v>
      </c>
      <c r="C72" s="22"/>
      <c r="D72" s="28">
        <f>D66</f>
        <v>433.01</v>
      </c>
    </row>
    <row r="73" spans="1:4">
      <c r="A73" s="21" t="s">
        <v>58</v>
      </c>
      <c r="C73" s="22"/>
      <c r="D73" s="28">
        <f>TRUNC(SUM(D70:D72),2)</f>
        <v>1269.83</v>
      </c>
    </row>
    <row r="75" spans="1:4">
      <c r="A75" s="190" t="s">
        <v>108</v>
      </c>
      <c r="B75" s="183"/>
      <c r="C75" s="183"/>
      <c r="D75" s="183"/>
    </row>
    <row r="76" spans="1:4">
      <c r="A76" s="21" t="s">
        <v>109</v>
      </c>
      <c r="B76" s="2" t="s">
        <v>110</v>
      </c>
      <c r="C76" s="22" t="s">
        <v>38</v>
      </c>
      <c r="D76" s="22" t="s">
        <v>19</v>
      </c>
    </row>
    <row r="77" spans="1:4">
      <c r="A77" s="21" t="s">
        <v>42</v>
      </c>
      <c r="B77" t="s">
        <v>111</v>
      </c>
      <c r="C77" s="38">
        <f>((1/12)*2%)</f>
        <v>1.6666666666666666E-3</v>
      </c>
      <c r="D77" s="24">
        <f t="shared" ref="D77:D80" si="1">TRUNC(($D$31*C77),2)</f>
        <v>2.2000000000000002</v>
      </c>
    </row>
    <row r="78" spans="1:4">
      <c r="A78" s="21" t="s">
        <v>45</v>
      </c>
      <c r="B78" t="s">
        <v>112</v>
      </c>
      <c r="C78" s="43">
        <v>0.08</v>
      </c>
      <c r="D78" s="28">
        <f>TRUNC(($D$77*C78),2)</f>
        <v>0.17</v>
      </c>
    </row>
    <row r="79" spans="1:4" ht="30">
      <c r="A79" s="21" t="s">
        <v>48</v>
      </c>
      <c r="B79" s="44" t="s">
        <v>113</v>
      </c>
      <c r="C79" s="45">
        <f>(0.08*0.4*0.02)</f>
        <v>6.4000000000000005E-4</v>
      </c>
      <c r="D79" s="41">
        <f t="shared" si="1"/>
        <v>0.84</v>
      </c>
    </row>
    <row r="80" spans="1:4">
      <c r="A80" s="21" t="s">
        <v>50</v>
      </c>
      <c r="B80" t="s">
        <v>114</v>
      </c>
      <c r="C80" s="43">
        <f>(((7/30)/12)*0.98)</f>
        <v>1.9055555555555555E-2</v>
      </c>
      <c r="D80" s="28">
        <f t="shared" si="1"/>
        <v>25.15</v>
      </c>
    </row>
    <row r="81" spans="1:4" ht="30">
      <c r="A81" s="21" t="s">
        <v>53</v>
      </c>
      <c r="B81" s="44" t="s">
        <v>210</v>
      </c>
      <c r="C81" s="45">
        <f>C55</f>
        <v>0.36800000000000005</v>
      </c>
      <c r="D81" s="41">
        <f>TRUNC(($D$80*C81),2)</f>
        <v>9.25</v>
      </c>
    </row>
    <row r="82" spans="1:4" ht="30">
      <c r="A82" s="21" t="s">
        <v>55</v>
      </c>
      <c r="B82" s="44" t="s">
        <v>115</v>
      </c>
      <c r="C82" s="45">
        <f>(0.08*0.4*0.98)</f>
        <v>3.1359999999999999E-2</v>
      </c>
      <c r="D82" s="41">
        <f>TRUNC(($D$31*C82),2)</f>
        <v>41.39</v>
      </c>
    </row>
    <row r="83" spans="1:4">
      <c r="A83" s="21" t="s">
        <v>58</v>
      </c>
      <c r="C83" s="43">
        <f>SUM(C77:C82)</f>
        <v>0.50072222222222229</v>
      </c>
      <c r="D83" s="28">
        <f>TRUNC((SUM(D77:D82)),2)</f>
        <v>79</v>
      </c>
    </row>
    <row r="84" spans="1:4">
      <c r="A84" s="21"/>
      <c r="D84" s="28"/>
    </row>
    <row r="85" spans="1:4">
      <c r="A85" s="192" t="s">
        <v>211</v>
      </c>
      <c r="B85" s="192"/>
      <c r="C85" s="33" t="s">
        <v>202</v>
      </c>
      <c r="D85" s="34">
        <f>D31</f>
        <v>1320</v>
      </c>
    </row>
    <row r="86" spans="1:4">
      <c r="A86" s="192"/>
      <c r="B86" s="192"/>
      <c r="C86" s="35" t="s">
        <v>212</v>
      </c>
      <c r="D86" s="34">
        <f>D73</f>
        <v>1269.83</v>
      </c>
    </row>
    <row r="87" spans="1:4">
      <c r="A87" s="192"/>
      <c r="B87" s="192"/>
      <c r="C87" s="33" t="s">
        <v>213</v>
      </c>
      <c r="D87" s="34">
        <f>D83</f>
        <v>79</v>
      </c>
    </row>
    <row r="88" spans="1:4">
      <c r="A88" s="192"/>
      <c r="B88" s="192"/>
      <c r="C88" s="35" t="s">
        <v>204</v>
      </c>
      <c r="D88" s="36">
        <f>TRUNC((SUM(D85:D87)),2)</f>
        <v>2668.83</v>
      </c>
    </row>
    <row r="89" spans="1:4">
      <c r="A89" s="21"/>
      <c r="D89" s="28"/>
    </row>
    <row r="90" spans="1:4">
      <c r="A90" s="198" t="s">
        <v>127</v>
      </c>
      <c r="B90" s="185"/>
      <c r="C90" s="185"/>
      <c r="D90" s="185"/>
    </row>
    <row r="91" spans="1:4">
      <c r="A91" s="184" t="s">
        <v>128</v>
      </c>
      <c r="B91" s="186"/>
      <c r="C91" s="186"/>
      <c r="D91" s="186"/>
    </row>
    <row r="92" spans="1:4">
      <c r="A92" s="21" t="s">
        <v>129</v>
      </c>
      <c r="B92" s="2" t="s">
        <v>130</v>
      </c>
      <c r="C92" s="22" t="s">
        <v>38</v>
      </c>
      <c r="D92" s="22" t="s">
        <v>19</v>
      </c>
    </row>
    <row r="93" spans="1:4">
      <c r="A93" s="21" t="s">
        <v>42</v>
      </c>
      <c r="B93" t="s">
        <v>132</v>
      </c>
      <c r="C93" s="43">
        <f>(((1+1/3)/12)/12)+((1/12)/12)</f>
        <v>1.6203703703703703E-2</v>
      </c>
      <c r="D93" s="28">
        <f>TRUNC(($D$88*C93),2)</f>
        <v>43.24</v>
      </c>
    </row>
    <row r="94" spans="1:4">
      <c r="A94" s="21" t="s">
        <v>45</v>
      </c>
      <c r="B94" t="s">
        <v>133</v>
      </c>
      <c r="C94" s="38">
        <f>((5/30)/12)</f>
        <v>1.3888888888888888E-2</v>
      </c>
      <c r="D94" s="41">
        <f>TRUNC(($D$88*C94),2)</f>
        <v>37.06</v>
      </c>
    </row>
    <row r="95" spans="1:4">
      <c r="A95" s="21" t="s">
        <v>48</v>
      </c>
      <c r="B95" t="s">
        <v>134</v>
      </c>
      <c r="C95" s="38">
        <f>((5/30)/12)*0.02</f>
        <v>2.7777777777777778E-4</v>
      </c>
      <c r="D95" s="41">
        <f t="shared" ref="D95:D97" si="2">TRUNC(($D$88*C95),2)</f>
        <v>0.74</v>
      </c>
    </row>
    <row r="96" spans="1:4" ht="30">
      <c r="A96" s="21" t="s">
        <v>50</v>
      </c>
      <c r="B96" s="44" t="s">
        <v>135</v>
      </c>
      <c r="C96" s="45">
        <f>((15/30)/12)*0.08</f>
        <v>3.3333333333333331E-3</v>
      </c>
      <c r="D96" s="41">
        <f t="shared" si="2"/>
        <v>8.89</v>
      </c>
    </row>
    <row r="97" spans="1:4">
      <c r="A97" s="21" t="s">
        <v>53</v>
      </c>
      <c r="B97" t="s">
        <v>136</v>
      </c>
      <c r="C97" s="38">
        <f>((1+1/3)/12)*0.00001*((4/12))</f>
        <v>3.7037037037037031E-7</v>
      </c>
      <c r="D97" s="41">
        <f t="shared" si="2"/>
        <v>0</v>
      </c>
    </row>
    <row r="98" spans="1:4" ht="30">
      <c r="A98" s="21" t="s">
        <v>55</v>
      </c>
      <c r="B98" s="44" t="s">
        <v>214</v>
      </c>
      <c r="C98" s="46">
        <v>0</v>
      </c>
      <c r="D98" s="41">
        <f>TRUNC($D$88*C98)</f>
        <v>0</v>
      </c>
    </row>
    <row r="99" spans="1:4">
      <c r="A99" s="21" t="s">
        <v>58</v>
      </c>
      <c r="C99" s="43">
        <f>SUBTOTAL(109,Submódulo4.159_80[Percentual])</f>
        <v>3.3704074074074074E-2</v>
      </c>
      <c r="D99" s="28">
        <f>TRUNC((SUM(D93:D98)),2)</f>
        <v>89.93</v>
      </c>
    </row>
    <row r="100" spans="1:4">
      <c r="A100" s="21"/>
      <c r="C100" s="22"/>
      <c r="D100" s="28"/>
    </row>
    <row r="101" spans="1:4">
      <c r="A101" s="184" t="s">
        <v>144</v>
      </c>
      <c r="B101" s="186"/>
      <c r="C101" s="186"/>
      <c r="D101" s="186"/>
    </row>
    <row r="102" spans="1:4">
      <c r="A102" s="21" t="s">
        <v>145</v>
      </c>
      <c r="B102" s="2" t="s">
        <v>146</v>
      </c>
      <c r="C102" s="22" t="s">
        <v>18</v>
      </c>
      <c r="D102" s="22" t="s">
        <v>19</v>
      </c>
    </row>
    <row r="103" spans="1:4" ht="90">
      <c r="A103" s="21" t="s">
        <v>42</v>
      </c>
      <c r="B103" s="47" t="s">
        <v>147</v>
      </c>
      <c r="C103" s="48" t="s">
        <v>215</v>
      </c>
      <c r="D103" s="49" t="s">
        <v>216</v>
      </c>
    </row>
    <row r="104" spans="1:4">
      <c r="A104" s="21" t="s">
        <v>58</v>
      </c>
      <c r="C104" s="50"/>
      <c r="D104" s="51" t="str">
        <f>D103</f>
        <v>*=TRUNCAR(($D$86/220)*(1*(365/12))/2)</v>
      </c>
    </row>
    <row r="106" spans="1:4">
      <c r="A106" s="184" t="s">
        <v>148</v>
      </c>
      <c r="B106" s="186"/>
      <c r="C106" s="186"/>
      <c r="D106" s="186"/>
    </row>
    <row r="107" spans="1:4">
      <c r="A107" s="21" t="s">
        <v>149</v>
      </c>
      <c r="B107" s="2" t="s">
        <v>150</v>
      </c>
      <c r="C107" s="22" t="s">
        <v>18</v>
      </c>
      <c r="D107" s="22" t="s">
        <v>19</v>
      </c>
    </row>
    <row r="108" spans="1:4">
      <c r="A108" s="21" t="s">
        <v>129</v>
      </c>
      <c r="B108" t="s">
        <v>130</v>
      </c>
      <c r="D108" s="24">
        <f>D99</f>
        <v>89.93</v>
      </c>
    </row>
    <row r="109" spans="1:4">
      <c r="A109" s="21" t="s">
        <v>145</v>
      </c>
      <c r="B109" t="s">
        <v>151</v>
      </c>
      <c r="C109" s="2"/>
      <c r="D109" s="52" t="str">
        <f>Submódulo4.260_81[[#Totals],[Valor]]</f>
        <v>*=TRUNCAR(($D$86/220)*(1*(365/12))/2)</v>
      </c>
    </row>
    <row r="110" spans="1:4" ht="60">
      <c r="A110" s="21" t="s">
        <v>58</v>
      </c>
      <c r="B110" s="40"/>
      <c r="C110" s="48" t="s">
        <v>217</v>
      </c>
      <c r="D110" s="53">
        <f>TRUNC((SUM(D108:D109)),2)</f>
        <v>89.93</v>
      </c>
    </row>
    <row r="112" spans="1:4">
      <c r="A112" s="190" t="s">
        <v>152</v>
      </c>
      <c r="B112" s="183"/>
      <c r="C112" s="183"/>
      <c r="D112" s="183"/>
    </row>
    <row r="113" spans="1:11" ht="30">
      <c r="A113" s="21" t="s">
        <v>153</v>
      </c>
      <c r="B113" s="2" t="s">
        <v>154</v>
      </c>
      <c r="C113" s="22" t="s">
        <v>18</v>
      </c>
      <c r="D113" s="22" t="s">
        <v>19</v>
      </c>
      <c r="H113" s="54" t="s">
        <v>218</v>
      </c>
      <c r="I113" s="55" t="s">
        <v>219</v>
      </c>
      <c r="J113" s="55" t="s">
        <v>220</v>
      </c>
      <c r="K113" s="55" t="s">
        <v>221</v>
      </c>
    </row>
    <row r="114" spans="1:11">
      <c r="A114" s="21" t="s">
        <v>42</v>
      </c>
      <c r="B114" t="s">
        <v>222</v>
      </c>
      <c r="D114" s="56">
        <f>F114</f>
        <v>0</v>
      </c>
      <c r="F114" cm="1">
        <f t="array" ref="F114:G114">'Uniformes e EPI'!G80:H80</f>
        <v>0</v>
      </c>
      <c r="G114">
        <v>0</v>
      </c>
      <c r="H114" s="57" t="s">
        <v>223</v>
      </c>
      <c r="I114" s="58">
        <v>0</v>
      </c>
      <c r="J114" s="59">
        <v>70</v>
      </c>
      <c r="K114" s="59">
        <f>TRUNC(J114*I114,2)</f>
        <v>0</v>
      </c>
    </row>
    <row r="115" spans="1:11">
      <c r="A115" s="21" t="s">
        <v>45</v>
      </c>
      <c r="B115" t="s">
        <v>224</v>
      </c>
      <c r="D115" s="56">
        <v>0</v>
      </c>
      <c r="H115" s="60" t="s">
        <v>225</v>
      </c>
      <c r="I115" s="61">
        <v>0</v>
      </c>
      <c r="J115" s="62">
        <v>35</v>
      </c>
      <c r="K115" s="59">
        <f>TRUNC(J115*I115,2)</f>
        <v>0</v>
      </c>
    </row>
    <row r="116" spans="1:11">
      <c r="A116" s="21" t="s">
        <v>48</v>
      </c>
      <c r="B116" t="s">
        <v>156</v>
      </c>
      <c r="D116" s="56">
        <f>'Mat. Piscineiro'!F12+'Mat. Piscineiro'!F19+'Mat. Piscineiro'!F28</f>
        <v>0</v>
      </c>
      <c r="H116" s="194" t="s">
        <v>204</v>
      </c>
      <c r="I116" s="195"/>
      <c r="J116" s="196">
        <f>TRUNC(SUM(K114:K115),2)</f>
        <v>0</v>
      </c>
      <c r="K116" s="197"/>
    </row>
    <row r="117" spans="1:11">
      <c r="A117" s="21" t="s">
        <v>50</v>
      </c>
      <c r="B117" t="s">
        <v>157</v>
      </c>
      <c r="D117" s="56">
        <v>0</v>
      </c>
      <c r="H117" s="194" t="s">
        <v>226</v>
      </c>
      <c r="I117" s="195"/>
      <c r="J117" s="196">
        <f>TRUNC(J116/12,2)</f>
        <v>0</v>
      </c>
      <c r="K117" s="197"/>
    </row>
    <row r="118" spans="1:11">
      <c r="A118" s="21" t="s">
        <v>53</v>
      </c>
      <c r="B118" t="s">
        <v>227</v>
      </c>
      <c r="D118" s="56">
        <v>0</v>
      </c>
      <c r="H118" s="193" t="s">
        <v>228</v>
      </c>
      <c r="I118" s="193"/>
      <c r="J118" s="193"/>
      <c r="K118" s="193"/>
    </row>
    <row r="119" spans="1:11">
      <c r="A119" s="21" t="s">
        <v>58</v>
      </c>
      <c r="D119" s="28">
        <f>TRUNC(SUM(D114:D118),2)</f>
        <v>0</v>
      </c>
      <c r="H119" s="193"/>
      <c r="I119" s="193"/>
      <c r="J119" s="193"/>
      <c r="K119" s="193"/>
    </row>
    <row r="121" spans="1:11">
      <c r="A121" s="192" t="s">
        <v>229</v>
      </c>
      <c r="B121" s="192"/>
      <c r="C121" s="33" t="s">
        <v>202</v>
      </c>
      <c r="D121" s="34">
        <f>D31</f>
        <v>1320</v>
      </c>
    </row>
    <row r="122" spans="1:11">
      <c r="A122" s="192"/>
      <c r="B122" s="192"/>
      <c r="C122" s="35" t="s">
        <v>212</v>
      </c>
      <c r="D122" s="34">
        <f>D73</f>
        <v>1269.83</v>
      </c>
    </row>
    <row r="123" spans="1:11">
      <c r="A123" s="192"/>
      <c r="B123" s="192"/>
      <c r="C123" s="33" t="s">
        <v>213</v>
      </c>
      <c r="D123" s="34">
        <f>D83</f>
        <v>79</v>
      </c>
    </row>
    <row r="124" spans="1:11">
      <c r="A124" s="192"/>
      <c r="B124" s="192"/>
      <c r="C124" s="35" t="s">
        <v>230</v>
      </c>
      <c r="D124" s="34">
        <f>D110</f>
        <v>89.93</v>
      </c>
    </row>
    <row r="125" spans="1:11">
      <c r="A125" s="192"/>
      <c r="B125" s="192"/>
      <c r="C125" s="33" t="s">
        <v>231</v>
      </c>
      <c r="D125" s="34">
        <f>D119</f>
        <v>0</v>
      </c>
    </row>
    <row r="126" spans="1:11">
      <c r="A126" s="192"/>
      <c r="B126" s="192"/>
      <c r="C126" s="35" t="s">
        <v>204</v>
      </c>
      <c r="D126" s="36">
        <f>TRUNC((SUM(D121:D125)),2)</f>
        <v>2758.76</v>
      </c>
    </row>
    <row r="128" spans="1:11">
      <c r="A128" s="190" t="s">
        <v>164</v>
      </c>
      <c r="B128" s="183"/>
      <c r="C128" s="183"/>
      <c r="D128" s="183"/>
    </row>
    <row r="129" spans="1:9">
      <c r="A129" s="21" t="s">
        <v>165</v>
      </c>
      <c r="B129" t="s">
        <v>166</v>
      </c>
      <c r="C129" s="22" t="s">
        <v>38</v>
      </c>
      <c r="D129" s="22" t="s">
        <v>19</v>
      </c>
      <c r="H129" s="191" t="s">
        <v>232</v>
      </c>
      <c r="I129" s="191"/>
    </row>
    <row r="130" spans="1:9">
      <c r="A130" s="21" t="s">
        <v>42</v>
      </c>
      <c r="B130" t="s">
        <v>167</v>
      </c>
      <c r="C130" s="38">
        <v>0</v>
      </c>
      <c r="D130" s="24">
        <f>TRUNC(($D$126*C130),2)</f>
        <v>0</v>
      </c>
      <c r="H130" s="57" t="s">
        <v>233</v>
      </c>
      <c r="I130" s="45">
        <f>C132</f>
        <v>8.6499999999999994E-2</v>
      </c>
    </row>
    <row r="131" spans="1:9">
      <c r="A131" s="21" t="s">
        <v>45</v>
      </c>
      <c r="B131" t="s">
        <v>59</v>
      </c>
      <c r="C131" s="38">
        <v>0</v>
      </c>
      <c r="D131" s="24">
        <f>TRUNC((C131*(D126+D130)),2)</f>
        <v>0</v>
      </c>
      <c r="H131" s="64" t="s">
        <v>234</v>
      </c>
      <c r="I131" s="73">
        <f>TRUNC(SUM(D126,D130,D131),2)</f>
        <v>2758.76</v>
      </c>
    </row>
    <row r="132" spans="1:9">
      <c r="A132" s="21" t="s">
        <v>48</v>
      </c>
      <c r="B132" t="s">
        <v>168</v>
      </c>
      <c r="C132" s="38">
        <f>SUM(C133:C135)</f>
        <v>8.6499999999999994E-2</v>
      </c>
      <c r="D132" s="24">
        <f>TRUNC((SUM(D133:D135)),2)</f>
        <v>261.2</v>
      </c>
      <c r="H132" s="57" t="s">
        <v>235</v>
      </c>
      <c r="I132" s="66">
        <f>(100-8.65)/100</f>
        <v>0.91349999999999998</v>
      </c>
    </row>
    <row r="133" spans="1:9">
      <c r="A133" s="21"/>
      <c r="B133" t="s">
        <v>236</v>
      </c>
      <c r="C133" s="38">
        <v>6.4999999999999997E-3</v>
      </c>
      <c r="D133" s="24">
        <f t="shared" ref="D133:D135" si="3">TRUNC(($I$133*C133),2)</f>
        <v>19.62</v>
      </c>
      <c r="H133" s="64" t="s">
        <v>232</v>
      </c>
      <c r="I133" s="73">
        <f>TRUNC((I131/I132),2)</f>
        <v>3019.98</v>
      </c>
    </row>
    <row r="134" spans="1:9">
      <c r="A134" s="21"/>
      <c r="B134" t="s">
        <v>237</v>
      </c>
      <c r="C134" s="38">
        <v>0.03</v>
      </c>
      <c r="D134" s="24">
        <f t="shared" si="3"/>
        <v>90.59</v>
      </c>
    </row>
    <row r="135" spans="1:9">
      <c r="A135" s="21"/>
      <c r="B135" t="s">
        <v>238</v>
      </c>
      <c r="C135" s="38">
        <v>0.05</v>
      </c>
      <c r="D135" s="24">
        <f t="shared" si="3"/>
        <v>150.99</v>
      </c>
    </row>
    <row r="136" spans="1:9">
      <c r="A136" s="21" t="s">
        <v>58</v>
      </c>
      <c r="C136" s="67"/>
      <c r="D136" s="28">
        <f>TRUNC(SUM(D130:D132),2)</f>
        <v>261.2</v>
      </c>
    </row>
    <row r="137" spans="1:9">
      <c r="A137" s="21"/>
      <c r="C137" s="67"/>
      <c r="D137" s="28"/>
    </row>
    <row r="139" spans="1:9">
      <c r="A139" s="190" t="s">
        <v>172</v>
      </c>
      <c r="B139" s="183"/>
      <c r="C139" s="183"/>
      <c r="D139" s="183"/>
    </row>
    <row r="140" spans="1:9">
      <c r="A140" s="21" t="s">
        <v>16</v>
      </c>
      <c r="B140" s="22" t="s">
        <v>173</v>
      </c>
      <c r="C140" s="22" t="s">
        <v>102</v>
      </c>
      <c r="D140" s="22" t="s">
        <v>19</v>
      </c>
    </row>
    <row r="141" spans="1:9">
      <c r="A141" s="21" t="s">
        <v>42</v>
      </c>
      <c r="B141" t="s">
        <v>36</v>
      </c>
      <c r="D141" s="28">
        <f>D31</f>
        <v>1320</v>
      </c>
    </row>
    <row r="142" spans="1:9">
      <c r="A142" s="21" t="s">
        <v>45</v>
      </c>
      <c r="B142" t="s">
        <v>61</v>
      </c>
      <c r="D142" s="28">
        <f>D73</f>
        <v>1269.83</v>
      </c>
    </row>
    <row r="143" spans="1:9">
      <c r="A143" s="21" t="s">
        <v>48</v>
      </c>
      <c r="B143" t="s">
        <v>108</v>
      </c>
      <c r="D143" s="28">
        <f>D83</f>
        <v>79</v>
      </c>
    </row>
    <row r="144" spans="1:9">
      <c r="A144" s="21" t="s">
        <v>50</v>
      </c>
      <c r="B144" t="s">
        <v>174</v>
      </c>
      <c r="D144" s="28">
        <f>D110</f>
        <v>89.93</v>
      </c>
    </row>
    <row r="145" spans="1:4">
      <c r="A145" s="21" t="s">
        <v>53</v>
      </c>
      <c r="B145" t="s">
        <v>152</v>
      </c>
      <c r="D145" s="28">
        <f>D119</f>
        <v>0</v>
      </c>
    </row>
    <row r="146" spans="1:4">
      <c r="B146" s="68" t="s">
        <v>239</v>
      </c>
      <c r="D146" s="28">
        <f>TRUNC(SUM(D141:D145),2)</f>
        <v>2758.76</v>
      </c>
    </row>
    <row r="147" spans="1:4">
      <c r="A147" s="21" t="s">
        <v>55</v>
      </c>
      <c r="B147" t="s">
        <v>164</v>
      </c>
      <c r="D147" s="28">
        <f>D136</f>
        <v>261.2</v>
      </c>
    </row>
    <row r="148" spans="1:4">
      <c r="A148" s="69"/>
      <c r="B148" s="70" t="s">
        <v>240</v>
      </c>
      <c r="C148" s="71"/>
      <c r="D148" s="72">
        <f>TRUNC((SUM(D141:D145)+D147),2)</f>
        <v>3019.96</v>
      </c>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A91:D91"/>
    <mergeCell ref="A101:D101"/>
    <mergeCell ref="H31:I31"/>
    <mergeCell ref="A33:D33"/>
    <mergeCell ref="A35:D35"/>
    <mergeCell ref="A45:D45"/>
    <mergeCell ref="A57:D57"/>
    <mergeCell ref="A128:D128"/>
    <mergeCell ref="H129:I129"/>
    <mergeCell ref="A139:D139"/>
    <mergeCell ref="A41:B43"/>
    <mergeCell ref="A85:B88"/>
    <mergeCell ref="A121:B126"/>
    <mergeCell ref="H118:K119"/>
    <mergeCell ref="A106:D106"/>
    <mergeCell ref="A112:D112"/>
    <mergeCell ref="H116:I116"/>
    <mergeCell ref="J116:K116"/>
    <mergeCell ref="H117:I117"/>
    <mergeCell ref="J117:K117"/>
    <mergeCell ref="A68:D68"/>
    <mergeCell ref="A75:D75"/>
    <mergeCell ref="A90:D90"/>
  </mergeCells>
  <pageMargins left="0.25" right="0.25" top="0.75" bottom="0.75" header="0.3" footer="0.3"/>
  <pageSetup paperSize="9" scale="75" fitToHeight="0" orientation="portrait"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K148"/>
  <sheetViews>
    <sheetView workbookViewId="0">
      <selection activeCell="D17" sqref="D17"/>
    </sheetView>
  </sheetViews>
  <sheetFormatPr defaultColWidth="9.140625" defaultRowHeight="15"/>
  <cols>
    <col min="1" max="1" width="11.28515625" style="4" customWidth="1"/>
    <col min="2" max="2" width="50.7109375" customWidth="1"/>
    <col min="3" max="3" width="30" customWidth="1"/>
    <col min="4" max="4" width="41" customWidth="1"/>
    <col min="6" max="7" width="0" hidden="1" customWidth="1"/>
    <col min="8" max="8" width="22.85546875" customWidth="1"/>
    <col min="9" max="9" width="15.42578125" customWidth="1"/>
    <col min="10" max="10" width="10.7109375" customWidth="1"/>
    <col min="11" max="11" width="11.85546875" customWidth="1"/>
  </cols>
  <sheetData>
    <row r="2" spans="1:9" ht="18.75">
      <c r="A2" s="208" t="s">
        <v>177</v>
      </c>
      <c r="B2" s="209"/>
      <c r="C2" s="209"/>
      <c r="D2" s="209"/>
    </row>
    <row r="3" spans="1:9">
      <c r="A3" s="214" t="str">
        <f>Pedreiro!A3</f>
        <v>Processo Administrativo n.° 23324.000132.2023-89</v>
      </c>
      <c r="B3" s="215"/>
      <c r="C3" s="215"/>
      <c r="D3" s="215"/>
    </row>
    <row r="4" spans="1:9">
      <c r="A4" s="5" t="s">
        <v>178</v>
      </c>
      <c r="B4" s="6" t="s">
        <v>419</v>
      </c>
      <c r="C4" s="7"/>
      <c r="D4" s="7"/>
    </row>
    <row r="5" spans="1:9">
      <c r="A5" s="8"/>
      <c r="B5" s="9"/>
      <c r="C5" s="9"/>
      <c r="D5" s="9"/>
    </row>
    <row r="6" spans="1:9">
      <c r="A6" s="190" t="s">
        <v>179</v>
      </c>
      <c r="B6" s="183"/>
      <c r="C6" s="183"/>
      <c r="D6" s="183"/>
    </row>
    <row r="7" spans="1:9">
      <c r="A7" s="10" t="s">
        <v>42</v>
      </c>
      <c r="B7" s="11" t="s">
        <v>180</v>
      </c>
      <c r="C7" s="212" t="s">
        <v>302</v>
      </c>
      <c r="D7" s="213"/>
    </row>
    <row r="8" spans="1:9">
      <c r="A8" s="12" t="s">
        <v>45</v>
      </c>
      <c r="B8" s="13" t="s">
        <v>181</v>
      </c>
      <c r="C8" s="203" t="s">
        <v>182</v>
      </c>
      <c r="D8" s="203"/>
    </row>
    <row r="9" spans="1:9">
      <c r="A9" s="15" t="s">
        <v>48</v>
      </c>
      <c r="B9" s="16" t="s">
        <v>183</v>
      </c>
      <c r="C9" s="203" t="s">
        <v>184</v>
      </c>
      <c r="D9" s="203"/>
    </row>
    <row r="10" spans="1:9">
      <c r="A10" s="12" t="s">
        <v>53</v>
      </c>
      <c r="B10" s="13" t="s">
        <v>185</v>
      </c>
      <c r="C10" s="203" t="s">
        <v>186</v>
      </c>
      <c r="D10" s="203"/>
    </row>
    <row r="11" spans="1:9">
      <c r="A11" s="201" t="s">
        <v>187</v>
      </c>
      <c r="B11" s="202"/>
      <c r="C11" s="202"/>
      <c r="D11" s="202"/>
    </row>
    <row r="12" spans="1:9">
      <c r="A12" s="204" t="s">
        <v>188</v>
      </c>
      <c r="B12" s="205"/>
      <c r="C12" s="17" t="s">
        <v>189</v>
      </c>
      <c r="D12" s="18" t="s">
        <v>190</v>
      </c>
    </row>
    <row r="13" spans="1:9">
      <c r="A13" s="206" t="s">
        <v>246</v>
      </c>
      <c r="B13" s="207"/>
      <c r="C13" s="14" t="s">
        <v>192</v>
      </c>
      <c r="D13" s="19">
        <v>1</v>
      </c>
    </row>
    <row r="14" spans="1:9">
      <c r="A14" s="199"/>
      <c r="B14" s="200"/>
      <c r="C14" s="14"/>
      <c r="D14" s="20"/>
    </row>
    <row r="15" spans="1:9">
      <c r="A15" s="201" t="s">
        <v>14</v>
      </c>
      <c r="B15" s="202"/>
      <c r="C15" s="202"/>
      <c r="D15" s="202"/>
      <c r="H15" s="186"/>
      <c r="I15" s="186"/>
    </row>
    <row r="16" spans="1:9">
      <c r="A16" s="21" t="s">
        <v>16</v>
      </c>
      <c r="B16" t="s">
        <v>17</v>
      </c>
      <c r="C16" s="22" t="s">
        <v>18</v>
      </c>
      <c r="D16" s="22" t="s">
        <v>19</v>
      </c>
    </row>
    <row r="17" spans="1:9">
      <c r="A17" s="21">
        <v>1</v>
      </c>
      <c r="B17" t="s">
        <v>20</v>
      </c>
      <c r="C17" s="23" t="s">
        <v>102</v>
      </c>
      <c r="D17" s="23" t="str">
        <f>A13</f>
        <v>Jardineiro</v>
      </c>
    </row>
    <row r="18" spans="1:9">
      <c r="A18" s="21">
        <v>2</v>
      </c>
      <c r="B18" t="s">
        <v>23</v>
      </c>
      <c r="C18" s="23" t="s">
        <v>193</v>
      </c>
      <c r="D18" s="23" t="s">
        <v>247</v>
      </c>
    </row>
    <row r="19" spans="1:9">
      <c r="A19" s="21">
        <v>3</v>
      </c>
      <c r="B19" t="s">
        <v>26</v>
      </c>
      <c r="C19" s="23" t="str">
        <f>C9</f>
        <v>CCT PB000517/2021</v>
      </c>
      <c r="D19" s="24">
        <v>1320</v>
      </c>
    </row>
    <row r="20" spans="1:9">
      <c r="A20" s="21">
        <v>4</v>
      </c>
      <c r="B20" t="s">
        <v>29</v>
      </c>
      <c r="C20" s="23" t="str">
        <f>C9</f>
        <v>CCT PB000517/2021</v>
      </c>
      <c r="D20" s="25" t="s">
        <v>195</v>
      </c>
    </row>
    <row r="21" spans="1:9">
      <c r="A21" s="21">
        <v>5</v>
      </c>
      <c r="B21" t="s">
        <v>33</v>
      </c>
      <c r="C21" s="23" t="str">
        <f>C9</f>
        <v>CCT PB000517/2021</v>
      </c>
      <c r="D21" s="26" t="s">
        <v>196</v>
      </c>
    </row>
    <row r="22" spans="1:9">
      <c r="H22" s="186"/>
      <c r="I22" s="186"/>
    </row>
    <row r="23" spans="1:9">
      <c r="A23" s="190" t="s">
        <v>36</v>
      </c>
      <c r="B23" s="183"/>
      <c r="C23" s="183"/>
      <c r="D23" s="183"/>
    </row>
    <row r="24" spans="1:9">
      <c r="A24" s="21" t="s">
        <v>39</v>
      </c>
      <c r="B24" s="2" t="s">
        <v>40</v>
      </c>
      <c r="C24" s="22" t="s">
        <v>18</v>
      </c>
      <c r="D24" s="22" t="s">
        <v>19</v>
      </c>
      <c r="I24" s="27"/>
    </row>
    <row r="25" spans="1:9">
      <c r="A25" s="21" t="s">
        <v>42</v>
      </c>
      <c r="B25" t="s">
        <v>43</v>
      </c>
      <c r="C25" s="25" t="s">
        <v>248</v>
      </c>
      <c r="D25" s="24">
        <f>D19</f>
        <v>1320</v>
      </c>
      <c r="I25" s="27"/>
    </row>
    <row r="26" spans="1:9">
      <c r="A26" s="21" t="s">
        <v>45</v>
      </c>
      <c r="B26" t="s">
        <v>198</v>
      </c>
      <c r="C26" s="25"/>
      <c r="D26" s="24">
        <v>0</v>
      </c>
      <c r="I26" s="27"/>
    </row>
    <row r="27" spans="1:9">
      <c r="A27" s="21" t="s">
        <v>48</v>
      </c>
      <c r="B27" t="s">
        <v>199</v>
      </c>
      <c r="C27" s="25"/>
      <c r="D27" s="24">
        <v>0</v>
      </c>
    </row>
    <row r="28" spans="1:9">
      <c r="A28" s="21" t="s">
        <v>50</v>
      </c>
      <c r="B28" t="s">
        <v>51</v>
      </c>
      <c r="C28" s="25"/>
      <c r="D28" s="24">
        <v>0</v>
      </c>
    </row>
    <row r="29" spans="1:9">
      <c r="A29" s="21" t="s">
        <v>53</v>
      </c>
      <c r="B29" t="s">
        <v>54</v>
      </c>
      <c r="C29" s="25"/>
      <c r="D29" s="24">
        <v>0</v>
      </c>
    </row>
    <row r="30" spans="1:9">
      <c r="A30" s="21" t="s">
        <v>55</v>
      </c>
      <c r="B30" t="s">
        <v>56</v>
      </c>
      <c r="C30" s="25"/>
      <c r="D30" s="24">
        <v>0</v>
      </c>
    </row>
    <row r="31" spans="1:9">
      <c r="A31" s="21" t="s">
        <v>58</v>
      </c>
      <c r="C31" s="22"/>
      <c r="D31" s="28">
        <f>TRUNC((SUM(D25:D30)),2)</f>
        <v>1320</v>
      </c>
      <c r="H31" s="186"/>
      <c r="I31" s="186"/>
    </row>
    <row r="32" spans="1:9">
      <c r="B32" s="29" t="s">
        <v>200</v>
      </c>
    </row>
    <row r="33" spans="1:9">
      <c r="A33" s="192" t="s">
        <v>61</v>
      </c>
      <c r="B33" s="187"/>
      <c r="C33" s="187"/>
      <c r="D33" s="187"/>
      <c r="I33" s="27"/>
    </row>
    <row r="35" spans="1:9">
      <c r="A35" s="184" t="s">
        <v>63</v>
      </c>
      <c r="B35" s="186"/>
      <c r="C35" s="186"/>
      <c r="D35" s="186"/>
    </row>
    <row r="36" spans="1:9">
      <c r="A36" s="21" t="s">
        <v>65</v>
      </c>
      <c r="B36" s="2" t="s">
        <v>66</v>
      </c>
      <c r="C36" s="22" t="s">
        <v>38</v>
      </c>
      <c r="D36" s="22" t="s">
        <v>19</v>
      </c>
    </row>
    <row r="37" spans="1:9">
      <c r="A37" s="21" t="s">
        <v>42</v>
      </c>
      <c r="B37" t="s">
        <v>67</v>
      </c>
      <c r="C37" s="31">
        <f>(1/12)</f>
        <v>8.3333333333333329E-2</v>
      </c>
      <c r="D37" s="28">
        <f>TRUNC($D$31*C37,2)</f>
        <v>110</v>
      </c>
      <c r="H37" s="32"/>
      <c r="I37" s="32"/>
    </row>
    <row r="38" spans="1:9">
      <c r="A38" s="21" t="s">
        <v>45</v>
      </c>
      <c r="B38" t="s">
        <v>68</v>
      </c>
      <c r="C38" s="31">
        <f>(((1+1/3)/12))</f>
        <v>0.1111111111111111</v>
      </c>
      <c r="D38" s="28">
        <f>TRUNC($D$31*C38,2)</f>
        <v>146.66</v>
      </c>
      <c r="H38" s="32"/>
      <c r="I38" s="32"/>
    </row>
    <row r="39" spans="1:9">
      <c r="A39" s="21" t="s">
        <v>58</v>
      </c>
      <c r="D39" s="28">
        <f>TRUNC((SUM(D37:D38)),2)</f>
        <v>256.66000000000003</v>
      </c>
      <c r="H39" s="32"/>
      <c r="I39" s="32"/>
    </row>
    <row r="40" spans="1:9">
      <c r="D40" s="28"/>
      <c r="H40" s="32"/>
      <c r="I40" s="32"/>
    </row>
    <row r="41" spans="1:9">
      <c r="A41" s="192" t="s">
        <v>201</v>
      </c>
      <c r="B41" s="192"/>
      <c r="C41" s="33" t="s">
        <v>202</v>
      </c>
      <c r="D41" s="34">
        <f>D31</f>
        <v>1320</v>
      </c>
      <c r="H41" s="32"/>
      <c r="I41" s="32"/>
    </row>
    <row r="42" spans="1:9">
      <c r="A42" s="192"/>
      <c r="B42" s="192"/>
      <c r="C42" s="35" t="s">
        <v>203</v>
      </c>
      <c r="D42" s="34">
        <f>D39</f>
        <v>256.66000000000003</v>
      </c>
      <c r="H42" s="32"/>
      <c r="I42" s="32"/>
    </row>
    <row r="43" spans="1:9">
      <c r="A43" s="192"/>
      <c r="B43" s="192"/>
      <c r="C43" s="33" t="s">
        <v>204</v>
      </c>
      <c r="D43" s="36">
        <f>TRUNC((SUM(D41:D42)),2)</f>
        <v>1576.66</v>
      </c>
      <c r="H43" s="32"/>
      <c r="I43" s="32"/>
    </row>
    <row r="44" spans="1:9">
      <c r="A44" s="21"/>
      <c r="C44" s="37"/>
      <c r="D44" s="28"/>
      <c r="H44" s="32"/>
      <c r="I44" s="32"/>
    </row>
    <row r="45" spans="1:9">
      <c r="A45" s="184" t="s">
        <v>77</v>
      </c>
      <c r="B45" s="186"/>
      <c r="C45" s="186"/>
      <c r="D45" s="186"/>
    </row>
    <row r="46" spans="1:9">
      <c r="A46" s="21" t="s">
        <v>78</v>
      </c>
      <c r="B46" s="2" t="s">
        <v>79</v>
      </c>
      <c r="C46" s="22" t="s">
        <v>38</v>
      </c>
      <c r="D46" s="22" t="s">
        <v>80</v>
      </c>
    </row>
    <row r="47" spans="1:9">
      <c r="A47" s="21" t="s">
        <v>42</v>
      </c>
      <c r="B47" t="s">
        <v>81</v>
      </c>
      <c r="C47" s="31">
        <v>0.2</v>
      </c>
      <c r="D47" s="28">
        <f t="shared" ref="D47:D54" si="0">TRUNC(($D$43*C47),2)</f>
        <v>315.33</v>
      </c>
    </row>
    <row r="48" spans="1:9">
      <c r="A48" s="21" t="s">
        <v>45</v>
      </c>
      <c r="B48" t="s">
        <v>82</v>
      </c>
      <c r="C48" s="31">
        <v>2.5000000000000001E-2</v>
      </c>
      <c r="D48" s="28">
        <f t="shared" si="0"/>
        <v>39.409999999999997</v>
      </c>
    </row>
    <row r="49" spans="1:8">
      <c r="A49" s="21" t="s">
        <v>48</v>
      </c>
      <c r="B49" t="s">
        <v>205</v>
      </c>
      <c r="C49" s="38">
        <v>0.03</v>
      </c>
      <c r="D49" s="24">
        <f t="shared" si="0"/>
        <v>47.29</v>
      </c>
    </row>
    <row r="50" spans="1:8">
      <c r="A50" s="21" t="s">
        <v>50</v>
      </c>
      <c r="B50" t="s">
        <v>84</v>
      </c>
      <c r="C50" s="31">
        <v>1.4999999999999999E-2</v>
      </c>
      <c r="D50" s="28">
        <f t="shared" si="0"/>
        <v>23.64</v>
      </c>
    </row>
    <row r="51" spans="1:8">
      <c r="A51" s="21" t="s">
        <v>53</v>
      </c>
      <c r="B51" t="s">
        <v>85</v>
      </c>
      <c r="C51" s="31">
        <v>0.01</v>
      </c>
      <c r="D51" s="28">
        <f t="shared" si="0"/>
        <v>15.76</v>
      </c>
    </row>
    <row r="52" spans="1:8">
      <c r="A52" s="21" t="s">
        <v>55</v>
      </c>
      <c r="B52" t="s">
        <v>86</v>
      </c>
      <c r="C52" s="31">
        <v>6.0000000000000001E-3</v>
      </c>
      <c r="D52" s="28">
        <f t="shared" si="0"/>
        <v>9.4499999999999993</v>
      </c>
    </row>
    <row r="53" spans="1:8">
      <c r="A53" s="21" t="s">
        <v>87</v>
      </c>
      <c r="B53" t="s">
        <v>88</v>
      </c>
      <c r="C53" s="31">
        <v>2E-3</v>
      </c>
      <c r="D53" s="28">
        <f t="shared" si="0"/>
        <v>3.15</v>
      </c>
    </row>
    <row r="54" spans="1:8">
      <c r="A54" s="21" t="s">
        <v>89</v>
      </c>
      <c r="B54" t="s">
        <v>90</v>
      </c>
      <c r="C54" s="31">
        <v>0.08</v>
      </c>
      <c r="D54" s="28">
        <f t="shared" si="0"/>
        <v>126.13</v>
      </c>
    </row>
    <row r="55" spans="1:8">
      <c r="A55" s="21" t="s">
        <v>58</v>
      </c>
      <c r="C55" s="37">
        <f>SUM(C47:C54)</f>
        <v>0.36800000000000005</v>
      </c>
      <c r="D55" s="28">
        <f>TRUNC((SUM(D47:D54)),2)</f>
        <v>580.16</v>
      </c>
    </row>
    <row r="56" spans="1:8">
      <c r="A56" s="21"/>
      <c r="C56" s="37"/>
      <c r="D56" s="28"/>
    </row>
    <row r="57" spans="1:8">
      <c r="A57" s="184" t="s">
        <v>95</v>
      </c>
      <c r="B57" s="186"/>
      <c r="C57" s="186"/>
      <c r="D57" s="186"/>
    </row>
    <row r="58" spans="1:8">
      <c r="A58" s="21" t="s">
        <v>96</v>
      </c>
      <c r="B58" s="2" t="s">
        <v>97</v>
      </c>
      <c r="C58" s="22" t="s">
        <v>18</v>
      </c>
      <c r="D58" s="22" t="s">
        <v>19</v>
      </c>
    </row>
    <row r="59" spans="1:8">
      <c r="A59" s="21" t="s">
        <v>42</v>
      </c>
      <c r="B59" t="s">
        <v>98</v>
      </c>
      <c r="C59" s="23"/>
      <c r="D59" s="39">
        <v>0</v>
      </c>
    </row>
    <row r="60" spans="1:8">
      <c r="A60" s="21" t="s">
        <v>45</v>
      </c>
      <c r="B60" t="s">
        <v>99</v>
      </c>
      <c r="C60" s="23" t="str">
        <f>C9</f>
        <v>CCT PB000517/2021</v>
      </c>
      <c r="D60" s="24">
        <f>TRUNC((((22*20.91))-(((22*20.91))*0.2)),2)</f>
        <v>368.01</v>
      </c>
    </row>
    <row r="61" spans="1:8">
      <c r="A61" s="21" t="s">
        <v>48</v>
      </c>
      <c r="B61" t="s">
        <v>100</v>
      </c>
      <c r="C61" s="23"/>
      <c r="D61" s="24">
        <v>0</v>
      </c>
    </row>
    <row r="62" spans="1:8">
      <c r="A62" s="21" t="s">
        <v>50</v>
      </c>
      <c r="B62" s="40" t="s">
        <v>206</v>
      </c>
      <c r="C62" s="41"/>
      <c r="D62" s="41">
        <v>0</v>
      </c>
      <c r="H62" s="40"/>
    </row>
    <row r="63" spans="1:8">
      <c r="A63" s="21" t="s">
        <v>53</v>
      </c>
      <c r="B63" s="2" t="s">
        <v>207</v>
      </c>
      <c r="C63" s="23" t="str">
        <f>C60</f>
        <v>CCT PB000517/2021</v>
      </c>
      <c r="D63" s="24">
        <v>20</v>
      </c>
    </row>
    <row r="64" spans="1:8">
      <c r="A64" s="21" t="s">
        <v>55</v>
      </c>
      <c r="B64" s="42" t="s">
        <v>208</v>
      </c>
      <c r="C64" s="23" t="str">
        <f>C9</f>
        <v>CCT PB000517/2021</v>
      </c>
      <c r="D64" s="24">
        <v>5</v>
      </c>
    </row>
    <row r="65" spans="1:4">
      <c r="A65" s="21" t="s">
        <v>87</v>
      </c>
      <c r="B65" s="42" t="s">
        <v>209</v>
      </c>
      <c r="C65" s="41" t="str">
        <f>C60</f>
        <v>CCT PB000517/2021</v>
      </c>
      <c r="D65" s="24">
        <v>40</v>
      </c>
    </row>
    <row r="66" spans="1:4">
      <c r="A66" s="21" t="s">
        <v>58</v>
      </c>
      <c r="D66" s="28">
        <f>TRUNC((SUM(D59:D65)),2)</f>
        <v>433.01</v>
      </c>
    </row>
    <row r="67" spans="1:4">
      <c r="A67" s="21"/>
      <c r="D67" s="28"/>
    </row>
    <row r="68" spans="1:4">
      <c r="A68" s="184" t="s">
        <v>105</v>
      </c>
      <c r="B68" s="186"/>
      <c r="C68" s="186"/>
      <c r="D68" s="186"/>
    </row>
    <row r="69" spans="1:4">
      <c r="A69" s="21" t="s">
        <v>106</v>
      </c>
      <c r="B69" s="2" t="s">
        <v>107</v>
      </c>
      <c r="C69" s="22" t="s">
        <v>18</v>
      </c>
      <c r="D69" s="22" t="s">
        <v>19</v>
      </c>
    </row>
    <row r="70" spans="1:4">
      <c r="A70" s="21" t="s">
        <v>65</v>
      </c>
      <c r="B70" t="s">
        <v>66</v>
      </c>
      <c r="C70" s="22"/>
      <c r="D70" s="28">
        <f>D39</f>
        <v>256.66000000000003</v>
      </c>
    </row>
    <row r="71" spans="1:4">
      <c r="A71" s="21" t="s">
        <v>78</v>
      </c>
      <c r="B71" t="s">
        <v>79</v>
      </c>
      <c r="C71" s="22"/>
      <c r="D71" s="28">
        <f>D55</f>
        <v>580.16</v>
      </c>
    </row>
    <row r="72" spans="1:4">
      <c r="A72" s="21" t="s">
        <v>96</v>
      </c>
      <c r="B72" t="s">
        <v>97</v>
      </c>
      <c r="C72" s="22"/>
      <c r="D72" s="28">
        <f>D66</f>
        <v>433.01</v>
      </c>
    </row>
    <row r="73" spans="1:4">
      <c r="A73" s="21" t="s">
        <v>58</v>
      </c>
      <c r="C73" s="22"/>
      <c r="D73" s="28">
        <f>TRUNC((SUM(D70:D72)),2)</f>
        <v>1269.83</v>
      </c>
    </row>
    <row r="75" spans="1:4">
      <c r="A75" s="190" t="s">
        <v>108</v>
      </c>
      <c r="B75" s="183"/>
      <c r="C75" s="183"/>
      <c r="D75" s="183"/>
    </row>
    <row r="76" spans="1:4">
      <c r="A76" s="21" t="s">
        <v>109</v>
      </c>
      <c r="B76" s="2" t="s">
        <v>110</v>
      </c>
      <c r="C76" s="22" t="s">
        <v>38</v>
      </c>
      <c r="D76" s="22" t="s">
        <v>19</v>
      </c>
    </row>
    <row r="77" spans="1:4">
      <c r="A77" s="21" t="s">
        <v>42</v>
      </c>
      <c r="B77" t="s">
        <v>111</v>
      </c>
      <c r="C77" s="38">
        <f>((1/12)*2%)</f>
        <v>1.6666666666666666E-3</v>
      </c>
      <c r="D77" s="24">
        <f t="shared" ref="D77:D80" si="1">TRUNC(($D$31*C77),2)</f>
        <v>2.2000000000000002</v>
      </c>
    </row>
    <row r="78" spans="1:4">
      <c r="A78" s="21" t="s">
        <v>45</v>
      </c>
      <c r="B78" t="s">
        <v>112</v>
      </c>
      <c r="C78" s="43">
        <v>0.08</v>
      </c>
      <c r="D78" s="28">
        <f>TRUNC(($D$77*C78),2)</f>
        <v>0.17</v>
      </c>
    </row>
    <row r="79" spans="1:4" ht="30">
      <c r="A79" s="21" t="s">
        <v>48</v>
      </c>
      <c r="B79" s="44" t="s">
        <v>113</v>
      </c>
      <c r="C79" s="45">
        <f>(0.08*0.4*0.02)</f>
        <v>6.4000000000000005E-4</v>
      </c>
      <c r="D79" s="41">
        <f t="shared" si="1"/>
        <v>0.84</v>
      </c>
    </row>
    <row r="80" spans="1:4">
      <c r="A80" s="21" t="s">
        <v>50</v>
      </c>
      <c r="B80" t="s">
        <v>114</v>
      </c>
      <c r="C80" s="43">
        <f>(((7/30)/12)*0.98)</f>
        <v>1.9055555555555555E-2</v>
      </c>
      <c r="D80" s="28">
        <f t="shared" si="1"/>
        <v>25.15</v>
      </c>
    </row>
    <row r="81" spans="1:4" ht="30">
      <c r="A81" s="21" t="s">
        <v>53</v>
      </c>
      <c r="B81" s="44" t="s">
        <v>210</v>
      </c>
      <c r="C81" s="45">
        <f>C55</f>
        <v>0.36800000000000005</v>
      </c>
      <c r="D81" s="41">
        <f>TRUNC(($D$80*C81),2)</f>
        <v>9.25</v>
      </c>
    </row>
    <row r="82" spans="1:4" ht="30">
      <c r="A82" s="21" t="s">
        <v>55</v>
      </c>
      <c r="B82" s="44" t="s">
        <v>115</v>
      </c>
      <c r="C82" s="45">
        <f>(0.08*0.4*0.98)</f>
        <v>3.1359999999999999E-2</v>
      </c>
      <c r="D82" s="41">
        <f>TRUNC(($D$31*C82),2)</f>
        <v>41.39</v>
      </c>
    </row>
    <row r="83" spans="1:4">
      <c r="A83" s="21" t="s">
        <v>58</v>
      </c>
      <c r="C83" s="43">
        <f>SUM(C77:C82)</f>
        <v>0.50072222222222229</v>
      </c>
      <c r="D83" s="28">
        <f>TRUNC((SUM(D77:D82)),2)</f>
        <v>79</v>
      </c>
    </row>
    <row r="84" spans="1:4">
      <c r="A84" s="21"/>
      <c r="D84" s="28"/>
    </row>
    <row r="85" spans="1:4">
      <c r="A85" s="192" t="s">
        <v>211</v>
      </c>
      <c r="B85" s="192"/>
      <c r="C85" s="33" t="s">
        <v>202</v>
      </c>
      <c r="D85" s="34">
        <f>D31</f>
        <v>1320</v>
      </c>
    </row>
    <row r="86" spans="1:4">
      <c r="A86" s="192"/>
      <c r="B86" s="192"/>
      <c r="C86" s="35" t="s">
        <v>212</v>
      </c>
      <c r="D86" s="34">
        <f>D73</f>
        <v>1269.83</v>
      </c>
    </row>
    <row r="87" spans="1:4">
      <c r="A87" s="192"/>
      <c r="B87" s="192"/>
      <c r="C87" s="33" t="s">
        <v>213</v>
      </c>
      <c r="D87" s="34">
        <f>D83</f>
        <v>79</v>
      </c>
    </row>
    <row r="88" spans="1:4">
      <c r="A88" s="192"/>
      <c r="B88" s="192"/>
      <c r="C88" s="35" t="s">
        <v>204</v>
      </c>
      <c r="D88" s="36">
        <f>TRUNC((SUM(D85:D87)),2)</f>
        <v>2668.83</v>
      </c>
    </row>
    <row r="89" spans="1:4">
      <c r="A89" s="21"/>
      <c r="D89" s="28"/>
    </row>
    <row r="90" spans="1:4">
      <c r="A90" s="198" t="s">
        <v>127</v>
      </c>
      <c r="B90" s="185"/>
      <c r="C90" s="185"/>
      <c r="D90" s="185"/>
    </row>
    <row r="91" spans="1:4">
      <c r="A91" s="184" t="s">
        <v>128</v>
      </c>
      <c r="B91" s="186"/>
      <c r="C91" s="186"/>
      <c r="D91" s="186"/>
    </row>
    <row r="92" spans="1:4">
      <c r="A92" s="21" t="s">
        <v>129</v>
      </c>
      <c r="B92" s="2" t="s">
        <v>130</v>
      </c>
      <c r="C92" s="22" t="s">
        <v>38</v>
      </c>
      <c r="D92" s="22" t="s">
        <v>19</v>
      </c>
    </row>
    <row r="93" spans="1:4">
      <c r="A93" s="21" t="s">
        <v>42</v>
      </c>
      <c r="B93" t="s">
        <v>132</v>
      </c>
      <c r="C93" s="43">
        <f>(((1+1/3)/12)/12)+((1/12)/12)</f>
        <v>1.6203703703703703E-2</v>
      </c>
      <c r="D93" s="28">
        <f t="shared" ref="D93:D97" si="2">TRUNC(($D$88*C93),2)</f>
        <v>43.24</v>
      </c>
    </row>
    <row r="94" spans="1:4">
      <c r="A94" s="21" t="s">
        <v>45</v>
      </c>
      <c r="B94" t="s">
        <v>133</v>
      </c>
      <c r="C94" s="38">
        <f>((5/30)/12)</f>
        <v>1.3888888888888888E-2</v>
      </c>
      <c r="D94" s="41">
        <f t="shared" si="2"/>
        <v>37.06</v>
      </c>
    </row>
    <row r="95" spans="1:4">
      <c r="A95" s="21" t="s">
        <v>48</v>
      </c>
      <c r="B95" t="s">
        <v>134</v>
      </c>
      <c r="C95" s="38">
        <f>((5/30)/12)*0.02</f>
        <v>2.7777777777777778E-4</v>
      </c>
      <c r="D95" s="41">
        <f t="shared" si="2"/>
        <v>0.74</v>
      </c>
    </row>
    <row r="96" spans="1:4" ht="30">
      <c r="A96" s="21" t="s">
        <v>50</v>
      </c>
      <c r="B96" s="44" t="s">
        <v>135</v>
      </c>
      <c r="C96" s="45">
        <f>((15/30)/12)*0.08</f>
        <v>3.3333333333333331E-3</v>
      </c>
      <c r="D96" s="41">
        <f t="shared" si="2"/>
        <v>8.89</v>
      </c>
    </row>
    <row r="97" spans="1:4">
      <c r="A97" s="21" t="s">
        <v>53</v>
      </c>
      <c r="B97" t="s">
        <v>136</v>
      </c>
      <c r="C97" s="38">
        <f>((1+1/3)/12)*0.00001*((4/12))</f>
        <v>3.7037037037037031E-7</v>
      </c>
      <c r="D97" s="41">
        <f t="shared" si="2"/>
        <v>0</v>
      </c>
    </row>
    <row r="98" spans="1:4" ht="30">
      <c r="A98" s="21" t="s">
        <v>55</v>
      </c>
      <c r="B98" s="44" t="s">
        <v>214</v>
      </c>
      <c r="C98" s="46">
        <v>0</v>
      </c>
      <c r="D98" s="41">
        <f>TRUNC($D$88*C98)</f>
        <v>0</v>
      </c>
    </row>
    <row r="99" spans="1:4">
      <c r="A99" s="21" t="s">
        <v>58</v>
      </c>
      <c r="C99" s="43">
        <f>SUBTOTAL(109,Submódulo4.159[Percentual])</f>
        <v>3.3704074074074074E-2</v>
      </c>
      <c r="D99" s="28">
        <f>TRUNC((SUM(D93:D98)),2)</f>
        <v>89.93</v>
      </c>
    </row>
    <row r="100" spans="1:4">
      <c r="A100" s="21"/>
      <c r="C100" s="22"/>
      <c r="D100" s="28"/>
    </row>
    <row r="101" spans="1:4">
      <c r="A101" s="184" t="s">
        <v>144</v>
      </c>
      <c r="B101" s="186"/>
      <c r="C101" s="186"/>
      <c r="D101" s="186"/>
    </row>
    <row r="102" spans="1:4">
      <c r="A102" s="21" t="s">
        <v>145</v>
      </c>
      <c r="B102" s="2" t="s">
        <v>146</v>
      </c>
      <c r="C102" s="22" t="s">
        <v>18</v>
      </c>
      <c r="D102" s="22" t="s">
        <v>19</v>
      </c>
    </row>
    <row r="103" spans="1:4" ht="90">
      <c r="A103" s="21" t="s">
        <v>42</v>
      </c>
      <c r="B103" s="47" t="s">
        <v>147</v>
      </c>
      <c r="C103" s="48" t="s">
        <v>215</v>
      </c>
      <c r="D103" s="49" t="s">
        <v>216</v>
      </c>
    </row>
    <row r="104" spans="1:4">
      <c r="A104" s="21" t="s">
        <v>58</v>
      </c>
      <c r="C104" s="50"/>
      <c r="D104" s="51" t="str">
        <f>D103</f>
        <v>*=TRUNCAR(($D$86/220)*(1*(365/12))/2)</v>
      </c>
    </row>
    <row r="106" spans="1:4">
      <c r="A106" s="184" t="s">
        <v>148</v>
      </c>
      <c r="B106" s="186"/>
      <c r="C106" s="186"/>
      <c r="D106" s="186"/>
    </row>
    <row r="107" spans="1:4">
      <c r="A107" s="21" t="s">
        <v>149</v>
      </c>
      <c r="B107" s="2" t="s">
        <v>150</v>
      </c>
      <c r="C107" s="22" t="s">
        <v>18</v>
      </c>
      <c r="D107" s="22" t="s">
        <v>19</v>
      </c>
    </row>
    <row r="108" spans="1:4">
      <c r="A108" s="21" t="s">
        <v>129</v>
      </c>
      <c r="B108" t="s">
        <v>130</v>
      </c>
      <c r="D108" s="24">
        <f>D99</f>
        <v>89.93</v>
      </c>
    </row>
    <row r="109" spans="1:4">
      <c r="A109" s="21" t="s">
        <v>145</v>
      </c>
      <c r="B109" t="s">
        <v>151</v>
      </c>
      <c r="C109" s="2"/>
      <c r="D109" s="52" t="str">
        <f>Submódulo4.260[[#Totals],[Valor]]</f>
        <v>*=TRUNCAR(($D$86/220)*(1*(365/12))/2)</v>
      </c>
    </row>
    <row r="110" spans="1:4" ht="60">
      <c r="A110" s="21" t="s">
        <v>58</v>
      </c>
      <c r="B110" s="40"/>
      <c r="C110" s="48" t="s">
        <v>217</v>
      </c>
      <c r="D110" s="53">
        <f>TRUNC((SUM(D108:D109)),2)</f>
        <v>89.93</v>
      </c>
    </row>
    <row r="112" spans="1:4">
      <c r="A112" s="190" t="s">
        <v>152</v>
      </c>
      <c r="B112" s="183"/>
      <c r="C112" s="183"/>
      <c r="D112" s="183"/>
    </row>
    <row r="113" spans="1:11" ht="30">
      <c r="A113" s="21" t="s">
        <v>153</v>
      </c>
      <c r="B113" s="2" t="s">
        <v>154</v>
      </c>
      <c r="C113" s="22" t="s">
        <v>18</v>
      </c>
      <c r="D113" s="22" t="s">
        <v>19</v>
      </c>
      <c r="H113" s="54" t="s">
        <v>218</v>
      </c>
      <c r="I113" s="55" t="s">
        <v>219</v>
      </c>
      <c r="J113" s="55" t="s">
        <v>220</v>
      </c>
      <c r="K113" s="55" t="s">
        <v>221</v>
      </c>
    </row>
    <row r="114" spans="1:11">
      <c r="A114" s="21" t="s">
        <v>42</v>
      </c>
      <c r="B114" t="s">
        <v>222</v>
      </c>
      <c r="D114" s="56">
        <f>F114</f>
        <v>0</v>
      </c>
      <c r="F114" cm="1">
        <f t="array" ref="F114:G114">'Uniformes e EPI'!G97:H97</f>
        <v>0</v>
      </c>
      <c r="G114">
        <v>0</v>
      </c>
      <c r="H114" s="57" t="s">
        <v>223</v>
      </c>
      <c r="I114" s="58">
        <v>0</v>
      </c>
      <c r="J114" s="59">
        <v>70</v>
      </c>
      <c r="K114" s="59">
        <f>TRUNC(J114*I114,2)</f>
        <v>0</v>
      </c>
    </row>
    <row r="115" spans="1:11">
      <c r="A115" s="21" t="s">
        <v>45</v>
      </c>
      <c r="B115" t="s">
        <v>224</v>
      </c>
      <c r="D115" s="56">
        <v>0</v>
      </c>
      <c r="H115" s="60" t="s">
        <v>225</v>
      </c>
      <c r="I115" s="61">
        <v>0</v>
      </c>
      <c r="J115" s="62">
        <v>35</v>
      </c>
      <c r="K115" s="59">
        <f>TRUNC(J115*I115,2)</f>
        <v>0</v>
      </c>
    </row>
    <row r="116" spans="1:11">
      <c r="A116" s="21" t="s">
        <v>48</v>
      </c>
      <c r="B116" t="s">
        <v>156</v>
      </c>
      <c r="D116" s="56">
        <f>'Mat. e Equip. Jardineiro'!F8</f>
        <v>0</v>
      </c>
      <c r="H116" s="194" t="s">
        <v>204</v>
      </c>
      <c r="I116" s="195"/>
      <c r="J116" s="196">
        <f>TRUNC(SUM(K114:K115),2)</f>
        <v>0</v>
      </c>
      <c r="K116" s="197"/>
    </row>
    <row r="117" spans="1:11">
      <c r="A117" s="21" t="s">
        <v>50</v>
      </c>
      <c r="B117" t="s">
        <v>157</v>
      </c>
      <c r="D117" s="56">
        <f>'Mat. e Equip. Jardineiro'!F20</f>
        <v>0</v>
      </c>
      <c r="H117" s="194" t="s">
        <v>226</v>
      </c>
      <c r="I117" s="195"/>
      <c r="J117" s="196">
        <f>TRUNC(J116/12,2)</f>
        <v>0</v>
      </c>
      <c r="K117" s="197"/>
    </row>
    <row r="118" spans="1:11">
      <c r="A118" s="21" t="s">
        <v>53</v>
      </c>
      <c r="B118" t="s">
        <v>227</v>
      </c>
      <c r="D118" s="56">
        <v>0</v>
      </c>
      <c r="H118" s="193" t="s">
        <v>228</v>
      </c>
      <c r="I118" s="193"/>
      <c r="J118" s="193"/>
      <c r="K118" s="193"/>
    </row>
    <row r="119" spans="1:11">
      <c r="A119" s="21" t="s">
        <v>58</v>
      </c>
      <c r="D119" s="63">
        <f>TRUNC(SUM(D114:D118),2)</f>
        <v>0</v>
      </c>
      <c r="H119" s="193"/>
      <c r="I119" s="193"/>
      <c r="J119" s="193"/>
      <c r="K119" s="193"/>
    </row>
    <row r="121" spans="1:11">
      <c r="A121" s="192" t="s">
        <v>229</v>
      </c>
      <c r="B121" s="192"/>
      <c r="C121" s="33" t="s">
        <v>202</v>
      </c>
      <c r="D121" s="34">
        <f>D31</f>
        <v>1320</v>
      </c>
    </row>
    <row r="122" spans="1:11">
      <c r="A122" s="192"/>
      <c r="B122" s="192"/>
      <c r="C122" s="35" t="s">
        <v>212</v>
      </c>
      <c r="D122" s="34">
        <f>D73</f>
        <v>1269.83</v>
      </c>
    </row>
    <row r="123" spans="1:11">
      <c r="A123" s="192"/>
      <c r="B123" s="192"/>
      <c r="C123" s="33" t="s">
        <v>213</v>
      </c>
      <c r="D123" s="34">
        <f>D83</f>
        <v>79</v>
      </c>
    </row>
    <row r="124" spans="1:11">
      <c r="A124" s="192"/>
      <c r="B124" s="192"/>
      <c r="C124" s="35" t="s">
        <v>230</v>
      </c>
      <c r="D124" s="34">
        <f>D110</f>
        <v>89.93</v>
      </c>
    </row>
    <row r="125" spans="1:11">
      <c r="A125" s="192"/>
      <c r="B125" s="192"/>
      <c r="C125" s="33" t="s">
        <v>231</v>
      </c>
      <c r="D125" s="34">
        <f>D119</f>
        <v>0</v>
      </c>
    </row>
    <row r="126" spans="1:11">
      <c r="A126" s="192"/>
      <c r="B126" s="192"/>
      <c r="C126" s="35" t="s">
        <v>204</v>
      </c>
      <c r="D126" s="36">
        <f>TRUNC((SUM(D121:D125)),2)</f>
        <v>2758.76</v>
      </c>
    </row>
    <row r="128" spans="1:11">
      <c r="A128" s="190" t="s">
        <v>164</v>
      </c>
      <c r="B128" s="183"/>
      <c r="C128" s="183"/>
      <c r="D128" s="183"/>
    </row>
    <row r="129" spans="1:9">
      <c r="A129" s="21" t="s">
        <v>165</v>
      </c>
      <c r="B129" t="s">
        <v>166</v>
      </c>
      <c r="C129" s="22" t="s">
        <v>38</v>
      </c>
      <c r="D129" s="22" t="s">
        <v>19</v>
      </c>
      <c r="H129" s="191" t="s">
        <v>232</v>
      </c>
      <c r="I129" s="191"/>
    </row>
    <row r="130" spans="1:9">
      <c r="A130" s="21" t="s">
        <v>42</v>
      </c>
      <c r="B130" t="s">
        <v>167</v>
      </c>
      <c r="C130" s="38">
        <v>0</v>
      </c>
      <c r="D130" s="24">
        <f>TRUNC(($D$126*C130),2)</f>
        <v>0</v>
      </c>
      <c r="H130" s="57" t="s">
        <v>233</v>
      </c>
      <c r="I130" s="45">
        <f>C132</f>
        <v>8.6499999999999994E-2</v>
      </c>
    </row>
    <row r="131" spans="1:9">
      <c r="A131" s="21" t="s">
        <v>45</v>
      </c>
      <c r="B131" t="s">
        <v>59</v>
      </c>
      <c r="C131" s="38">
        <v>0</v>
      </c>
      <c r="D131" s="24">
        <f>TRUNC((C131*(D126+D130)),2)</f>
        <v>0</v>
      </c>
      <c r="H131" s="64" t="s">
        <v>234</v>
      </c>
      <c r="I131" s="65">
        <f>TRUNC(SUM(D126,D130,D131),2)</f>
        <v>2758.76</v>
      </c>
    </row>
    <row r="132" spans="1:9">
      <c r="A132" s="21" t="s">
        <v>48</v>
      </c>
      <c r="B132" t="s">
        <v>168</v>
      </c>
      <c r="C132" s="38">
        <f>SUM(C133:C135)</f>
        <v>8.6499999999999994E-2</v>
      </c>
      <c r="D132" s="24">
        <f>TRUNC((SUM(D133:D135)),2)</f>
        <v>261.2</v>
      </c>
      <c r="H132" s="57" t="s">
        <v>235</v>
      </c>
      <c r="I132" s="66">
        <f>(100-8.65)/100</f>
        <v>0.91349999999999998</v>
      </c>
    </row>
    <row r="133" spans="1:9">
      <c r="A133" s="21"/>
      <c r="B133" t="s">
        <v>236</v>
      </c>
      <c r="C133" s="38">
        <v>6.4999999999999997E-3</v>
      </c>
      <c r="D133" s="24">
        <f t="shared" ref="D133:D135" si="3">TRUNC(($I$133*C133),2)</f>
        <v>19.62</v>
      </c>
      <c r="H133" s="64" t="s">
        <v>232</v>
      </c>
      <c r="I133" s="65">
        <f>TRUNC((I131/I132),2)</f>
        <v>3019.98</v>
      </c>
    </row>
    <row r="134" spans="1:9">
      <c r="A134" s="21"/>
      <c r="B134" t="s">
        <v>237</v>
      </c>
      <c r="C134" s="38">
        <v>0.03</v>
      </c>
      <c r="D134" s="24">
        <f t="shared" si="3"/>
        <v>90.59</v>
      </c>
    </row>
    <row r="135" spans="1:9">
      <c r="A135" s="21"/>
      <c r="B135" t="s">
        <v>238</v>
      </c>
      <c r="C135" s="38">
        <v>0.05</v>
      </c>
      <c r="D135" s="24">
        <f t="shared" si="3"/>
        <v>150.99</v>
      </c>
    </row>
    <row r="136" spans="1:9">
      <c r="A136" s="21" t="s">
        <v>58</v>
      </c>
      <c r="C136" s="67"/>
      <c r="D136" s="28">
        <f>TRUNC(SUM(D130:D132),2)</f>
        <v>261.2</v>
      </c>
    </row>
    <row r="137" spans="1:9">
      <c r="A137" s="21"/>
      <c r="C137" s="67"/>
      <c r="D137" s="28"/>
    </row>
    <row r="139" spans="1:9">
      <c r="A139" s="190" t="s">
        <v>172</v>
      </c>
      <c r="B139" s="183"/>
      <c r="C139" s="183"/>
      <c r="D139" s="183"/>
    </row>
    <row r="140" spans="1:9">
      <c r="A140" s="21" t="s">
        <v>16</v>
      </c>
      <c r="B140" s="22" t="s">
        <v>173</v>
      </c>
      <c r="C140" s="22" t="s">
        <v>102</v>
      </c>
      <c r="D140" s="22" t="s">
        <v>19</v>
      </c>
    </row>
    <row r="141" spans="1:9">
      <c r="A141" s="21" t="s">
        <v>42</v>
      </c>
      <c r="B141" t="s">
        <v>36</v>
      </c>
      <c r="D141" s="28">
        <f>D31</f>
        <v>1320</v>
      </c>
    </row>
    <row r="142" spans="1:9">
      <c r="A142" s="21" t="s">
        <v>45</v>
      </c>
      <c r="B142" t="s">
        <v>61</v>
      </c>
      <c r="D142" s="28">
        <f>D73</f>
        <v>1269.83</v>
      </c>
    </row>
    <row r="143" spans="1:9">
      <c r="A143" s="21" t="s">
        <v>48</v>
      </c>
      <c r="B143" t="s">
        <v>108</v>
      </c>
      <c r="D143" s="28">
        <f>D83</f>
        <v>79</v>
      </c>
    </row>
    <row r="144" spans="1:9">
      <c r="A144" s="21" t="s">
        <v>50</v>
      </c>
      <c r="B144" t="s">
        <v>174</v>
      </c>
      <c r="D144" s="28">
        <f>D110</f>
        <v>89.93</v>
      </c>
    </row>
    <row r="145" spans="1:4">
      <c r="A145" s="21" t="s">
        <v>53</v>
      </c>
      <c r="B145" t="s">
        <v>152</v>
      </c>
      <c r="D145" s="28">
        <f>D119</f>
        <v>0</v>
      </c>
    </row>
    <row r="146" spans="1:4">
      <c r="B146" s="68" t="s">
        <v>239</v>
      </c>
      <c r="D146" s="28">
        <f>TRUNC(SUM(D141:D145),2)</f>
        <v>2758.76</v>
      </c>
    </row>
    <row r="147" spans="1:4">
      <c r="A147" s="21" t="s">
        <v>55</v>
      </c>
      <c r="B147" t="s">
        <v>164</v>
      </c>
      <c r="D147" s="28">
        <f>D136</f>
        <v>261.2</v>
      </c>
    </row>
    <row r="148" spans="1:4">
      <c r="A148" s="69"/>
      <c r="B148" s="70" t="s">
        <v>240</v>
      </c>
      <c r="C148" s="71"/>
      <c r="D148" s="72">
        <f>TRUNC((SUM(D141:D145)+D147),2)</f>
        <v>3019.96</v>
      </c>
    </row>
  </sheetData>
  <mergeCells count="38">
    <mergeCell ref="A2:D2"/>
    <mergeCell ref="A3:D3"/>
    <mergeCell ref="A6:D6"/>
    <mergeCell ref="C7:D7"/>
    <mergeCell ref="C8:D8"/>
    <mergeCell ref="C9:D9"/>
    <mergeCell ref="C10:D10"/>
    <mergeCell ref="A11:D11"/>
    <mergeCell ref="A12:B12"/>
    <mergeCell ref="A13:B13"/>
    <mergeCell ref="A14:B14"/>
    <mergeCell ref="A15:D15"/>
    <mergeCell ref="H15:I15"/>
    <mergeCell ref="H22:I22"/>
    <mergeCell ref="A23:D23"/>
    <mergeCell ref="A91:D91"/>
    <mergeCell ref="A101:D101"/>
    <mergeCell ref="H31:I31"/>
    <mergeCell ref="A33:D33"/>
    <mergeCell ref="A35:D35"/>
    <mergeCell ref="A45:D45"/>
    <mergeCell ref="A57:D57"/>
    <mergeCell ref="A128:D128"/>
    <mergeCell ref="H129:I129"/>
    <mergeCell ref="A139:D139"/>
    <mergeCell ref="A41:B43"/>
    <mergeCell ref="A85:B88"/>
    <mergeCell ref="A121:B126"/>
    <mergeCell ref="H118:K119"/>
    <mergeCell ref="A106:D106"/>
    <mergeCell ref="A112:D112"/>
    <mergeCell ref="H116:I116"/>
    <mergeCell ref="J116:K116"/>
    <mergeCell ref="H117:I117"/>
    <mergeCell ref="J117:K117"/>
    <mergeCell ref="A68:D68"/>
    <mergeCell ref="A75:D75"/>
    <mergeCell ref="A90:D90"/>
  </mergeCells>
  <pageMargins left="0.25" right="0.25" top="0.75" bottom="0.75" header="0.3" footer="0.3"/>
  <pageSetup paperSize="9" scale="74" fitToHeight="0" orientation="portrait"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17</vt:i4>
      </vt:variant>
      <vt:variant>
        <vt:lpstr>Intervalos Nomeados</vt:lpstr>
      </vt:variant>
      <vt:variant>
        <vt:i4>21</vt:i4>
      </vt:variant>
    </vt:vector>
  </HeadingPairs>
  <TitlesOfParts>
    <vt:vector size="38" baseType="lpstr">
      <vt:lpstr>Orientações</vt:lpstr>
      <vt:lpstr>Servente</vt:lpstr>
      <vt:lpstr>RESUMO</vt:lpstr>
      <vt:lpstr>Pedreiro</vt:lpstr>
      <vt:lpstr>Eletricista</vt:lpstr>
      <vt:lpstr>Pintor</vt:lpstr>
      <vt:lpstr>Técnico em Manutenção Predial</vt:lpstr>
      <vt:lpstr>Piscineiro</vt:lpstr>
      <vt:lpstr>Jardineiro</vt:lpstr>
      <vt:lpstr>Cozinheira</vt:lpstr>
      <vt:lpstr>Auxiliar de Cozinha</vt:lpstr>
      <vt:lpstr>Recepcionista</vt:lpstr>
      <vt:lpstr>Motorista Interestadual</vt:lpstr>
      <vt:lpstr>Uniformes e EPI</vt:lpstr>
      <vt:lpstr>Mat. Piscineiro</vt:lpstr>
      <vt:lpstr>Mat. e Equip. Jardineiro</vt:lpstr>
      <vt:lpstr>Diárias Nacionais Motorista</vt:lpstr>
      <vt:lpstr>_1A</vt:lpstr>
      <vt:lpstr>_1B</vt:lpstr>
      <vt:lpstr>_1C</vt:lpstr>
      <vt:lpstr>_1D</vt:lpstr>
      <vt:lpstr>_1E</vt:lpstr>
      <vt:lpstr>_1F</vt:lpstr>
      <vt:lpstr>_2.1A</vt:lpstr>
      <vt:lpstr>_2.1B</vt:lpstr>
      <vt:lpstr>_2.3A</vt:lpstr>
      <vt:lpstr>_2.3B</vt:lpstr>
      <vt:lpstr>_2.3C</vt:lpstr>
      <vt:lpstr>_2.3D</vt:lpstr>
      <vt:lpstr>Eletricista!Area_de_impressao</vt:lpstr>
      <vt:lpstr>Jardineiro!Area_de_impressao</vt:lpstr>
      <vt:lpstr>Pedreiro!Area_de_impressao</vt:lpstr>
      <vt:lpstr>Pintor!Area_de_impressao</vt:lpstr>
      <vt:lpstr>Piscineiro!Area_de_impressao</vt:lpstr>
      <vt:lpstr>RESUMO!Area_de_impressao</vt:lpstr>
      <vt:lpstr>'Técnico em Manutenção Predial'!Area_de_impressao</vt:lpstr>
      <vt:lpstr>Salário_Normativo_da_Categoria_Profissional</vt:lpstr>
      <vt:lpstr>SalarioBase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Rafael Rodrigues Lopes</cp:lastModifiedBy>
  <cp:revision>3</cp:revision>
  <cp:lastPrinted>2023-02-28T17:39:51Z</cp:lastPrinted>
  <dcterms:created xsi:type="dcterms:W3CDTF">2019-02-19T21:25:00Z</dcterms:created>
  <dcterms:modified xsi:type="dcterms:W3CDTF">2023-02-28T17:43:39Z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1046-11.2.0.11251</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ICV">
    <vt:lpwstr>36CB9152D4524E47A36AB7537F1FF8CF</vt:lpwstr>
  </property>
</Properties>
</file>